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eedPre-Seed" sheetId="2" r:id="rId5"/>
    <sheet state="visible" name="Series A" sheetId="3" r:id="rId6"/>
    <sheet state="visible" name="Series B →" sheetId="4" r:id="rId7"/>
    <sheet state="visible" name="B2C" sheetId="5" r:id="rId8"/>
    <sheet state="visible" name="B2B" sheetId="6" r:id="rId9"/>
    <sheet state="visible" name="B2B2C" sheetId="7" r:id="rId10"/>
    <sheet state="visible" name="By Industry" sheetId="8" r:id="rId11"/>
    <sheet state="visible" name="By Amount" sheetId="9" r:id="rId12"/>
    <sheet state="visible" name="Stats" sheetId="10" r:id="rId13"/>
  </sheets>
  <definedNames>
    <definedName hidden="1" localSheetId="1" name="_xlnm._FilterDatabase">'SeedPre-Seed'!$D$1:$D$199</definedName>
    <definedName hidden="1" localSheetId="2" name="_xlnm._FilterDatabase">'Series A'!$D$1:$D$199</definedName>
    <definedName hidden="1" localSheetId="3" name="_xlnm._FilterDatabase">'Series B →'!$D$1:$D$199</definedName>
    <definedName hidden="1" localSheetId="4" name="_xlnm._FilterDatabase">B2C!$D$1:$D$199</definedName>
    <definedName hidden="1" localSheetId="5" name="_xlnm._FilterDatabase">B2B!$D$1:$D$199</definedName>
    <definedName hidden="1" localSheetId="6" name="_xlnm._FilterDatabase">B2B2C!$D$1:$D$199</definedName>
  </definedNames>
  <calcPr/>
</workbook>
</file>

<file path=xl/sharedStrings.xml><?xml version="1.0" encoding="utf-8"?>
<sst xmlns="http://schemas.openxmlformats.org/spreadsheetml/2006/main" count="103" uniqueCount="53">
  <si>
    <r>
      <rPr>
        <rFont val="Comfortaa"/>
        <sz val="11.0"/>
      </rPr>
      <t xml:space="preserve">Written by </t>
    </r>
    <r>
      <rPr>
        <rFont val="Comfortaa"/>
        <color rgb="FF1155CC"/>
        <sz val="11.0"/>
        <u/>
      </rPr>
      <t>Haje Kamps</t>
    </r>
  </si>
  <si>
    <r>
      <rPr>
        <rFont val="Comfortaa"/>
        <b/>
        <sz val="16.0"/>
      </rPr>
      <t xml:space="preserve">NEW: You can now </t>
    </r>
    <r>
      <rPr>
        <rFont val="Comfortaa"/>
        <b/>
        <color rgb="FFFF6D01"/>
        <sz val="16.0"/>
        <u/>
      </rPr>
      <t>download all the sample pitch decks in one fell swoop</t>
    </r>
    <r>
      <rPr>
        <rFont val="Comfortaa"/>
        <b/>
        <sz val="16.0"/>
      </rPr>
      <t xml:space="preserve">! </t>
    </r>
  </si>
  <si>
    <t># of teardowns:</t>
  </si>
  <si>
    <t>Total funds raised:</t>
  </si>
  <si>
    <t>B</t>
  </si>
  <si>
    <t>D</t>
  </si>
  <si>
    <t>H</t>
  </si>
  <si>
    <t>i</t>
  </si>
  <si>
    <t>E</t>
  </si>
  <si>
    <t>R</t>
  </si>
  <si>
    <t>AC</t>
  </si>
  <si>
    <t>AG</t>
  </si>
  <si>
    <t>AH</t>
  </si>
  <si>
    <t>Company Name</t>
  </si>
  <si>
    <t>Raised</t>
  </si>
  <si>
    <t>Round</t>
  </si>
  <si>
    <t>Link to pitch deck teardown + full pitch deck used to raise the round</t>
  </si>
  <si>
    <t>Published</t>
  </si>
  <si>
    <t>URL</t>
  </si>
  <si>
    <t>Amount raised</t>
  </si>
  <si>
    <t>Amount Raised (number)</t>
  </si>
  <si>
    <t>Link to Deck</t>
  </si>
  <si>
    <t>Target Customer</t>
  </si>
  <si>
    <t>Industry</t>
  </si>
  <si>
    <t>Seed and Pre-Seed Pitch Deck Teardowns</t>
  </si>
  <si>
    <t>Series A Pitch Deck Teardowns</t>
  </si>
  <si>
    <t>Series B and beyond Pitch Deck Teardowns</t>
  </si>
  <si>
    <t>B2C Pitch Decks</t>
  </si>
  <si>
    <t>B2B Pitch Decks</t>
  </si>
  <si>
    <t>B2B2C Pitch Decks</t>
  </si>
  <si>
    <t>Pitch decks by industry</t>
  </si>
  <si>
    <t>Pitch decks sorted by funding amount</t>
  </si>
  <si>
    <t>Funding Stage</t>
  </si>
  <si>
    <t>Funding Amount</t>
  </si>
  <si>
    <t>Pitch Deck Teardown Stats</t>
  </si>
  <si>
    <t>B2B</t>
  </si>
  <si>
    <t>B2C</t>
  </si>
  <si>
    <t>B2B2C</t>
  </si>
  <si>
    <t>Series A</t>
  </si>
  <si>
    <t>Series B</t>
  </si>
  <si>
    <t>Series C</t>
  </si>
  <si>
    <t>Series D</t>
  </si>
  <si>
    <t>Series E</t>
  </si>
  <si>
    <t>Pre-seed</t>
  </si>
  <si>
    <t>Seed</t>
  </si>
  <si>
    <t>Other</t>
  </si>
  <si>
    <t>Round size</t>
  </si>
  <si>
    <t>Under 500K</t>
  </si>
  <si>
    <t>$0.5m-$2m</t>
  </si>
  <si>
    <t>$2m-$5m</t>
  </si>
  <si>
    <t>$5m-$20m</t>
  </si>
  <si>
    <t>Over $20m</t>
  </si>
  <si>
    <t>Industries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</si>
</sst>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%"/>
  </numFmts>
  <fonts count="23">
    <font>
      <sz val="10.0"/>
      <color rgb="FF000000"/>
      <name val="Arial"/>
      <scheme val="minor"/>
    </font>
    <font>
      <sz val="29.0"/>
      <color rgb="FF00A562"/>
      <name val="Alfa Slab One"/>
    </font>
    <font>
      <sz val="8.0"/>
      <color theme="1"/>
      <name val="Comfortaa"/>
    </font>
    <font>
      <color theme="1"/>
      <name val="Arial"/>
      <scheme val="minor"/>
    </font>
    <font>
      <u/>
      <sz val="11.0"/>
      <color rgb="FF0000FF"/>
      <name val="Comfortaa"/>
    </font>
    <font>
      <sz val="11.0"/>
      <color theme="1"/>
      <name val="Comfortaa"/>
    </font>
    <font>
      <sz val="16.0"/>
      <color theme="1"/>
      <name val="Comfortaa"/>
    </font>
    <font>
      <b/>
      <u/>
      <sz val="16.0"/>
      <color rgb="FF0000FF"/>
      <name val="Comfortaa"/>
    </font>
    <font>
      <sz val="9.0"/>
      <color theme="1"/>
      <name val="Comfortaa"/>
    </font>
    <font>
      <sz val="14.0"/>
      <color theme="1"/>
      <name val="Alfa Slab One"/>
    </font>
    <font>
      <sz val="7.0"/>
      <color theme="1"/>
      <name val="Arial"/>
      <scheme val="minor"/>
    </font>
    <font>
      <sz val="10.0"/>
      <color rgb="FF00A562"/>
      <name val="Comfortaa"/>
    </font>
    <font>
      <sz val="10.0"/>
      <color theme="1"/>
      <name val="Arial"/>
      <scheme val="minor"/>
    </font>
    <font>
      <u/>
      <color rgb="FF0000FF"/>
      <name val="Comfortaa"/>
    </font>
    <font>
      <color theme="1"/>
      <name val="Comfortaa"/>
    </font>
    <font>
      <sz val="10.0"/>
      <color theme="1"/>
      <name val="Comfortaa"/>
    </font>
    <font>
      <u/>
      <color rgb="FF0000FF"/>
    </font>
    <font>
      <u/>
      <color rgb="FF0000FF"/>
    </font>
    <font>
      <sz val="29.0"/>
      <color rgb="FF6AA84F"/>
      <name val="Alfa Slab One"/>
    </font>
    <font>
      <sz val="10.0"/>
      <color rgb="FF00A562"/>
      <name val="Arial"/>
      <scheme val="minor"/>
    </font>
    <font>
      <sz val="17.0"/>
      <color rgb="FF00A562"/>
      <name val="Comfortaa"/>
    </font>
    <font>
      <color theme="1"/>
      <name val="Arial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shrinkToFit="0" wrapText="1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2" fontId="6" numFmtId="0" xfId="0" applyAlignment="1" applyFill="1" applyFont="1">
      <alignment readingOrder="0"/>
    </xf>
    <xf borderId="0" fillId="2" fontId="6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2" numFmtId="0" xfId="0" applyAlignment="1" applyFont="1">
      <alignment horizontal="right" shrinkToFit="0" wrapText="1"/>
    </xf>
    <xf borderId="0" fillId="2" fontId="3" numFmtId="0" xfId="0" applyFont="1"/>
    <xf borderId="0" fillId="2" fontId="3" numFmtId="0" xfId="0" applyAlignment="1" applyFont="1">
      <alignment shrinkToFit="0" wrapText="0"/>
    </xf>
    <xf borderId="0" fillId="3" fontId="7" numFmtId="0" xfId="0" applyAlignment="1" applyFill="1" applyFont="1">
      <alignment horizontal="center" readingOrder="0"/>
    </xf>
    <xf borderId="0" fillId="0" fontId="8" numFmtId="0" xfId="0" applyAlignment="1" applyFont="1">
      <alignment horizontal="right" readingOrder="0" vertical="center"/>
    </xf>
    <xf borderId="0" fillId="0" fontId="9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/>
    </xf>
    <xf borderId="0" fillId="0" fontId="10" numFmtId="0" xfId="0" applyFont="1"/>
    <xf borderId="0" fillId="0" fontId="10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right" readingOrder="0" shrinkToFit="0" wrapText="1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shrinkToFit="0" wrapText="0"/>
    </xf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horizontal="left"/>
    </xf>
    <xf borderId="0" fillId="0" fontId="15" numFmtId="0" xfId="0" applyAlignment="1" applyFont="1">
      <alignment horizontal="right" shrinkToFit="0" wrapText="1"/>
    </xf>
    <xf borderId="0" fillId="0" fontId="3" numFmtId="0" xfId="0" applyFont="1"/>
    <xf borderId="0" fillId="0" fontId="16" numFmtId="0" xfId="0" applyFont="1"/>
    <xf borderId="0" fillId="0" fontId="3" numFmtId="164" xfId="0" applyFont="1" applyNumberFormat="1"/>
    <xf borderId="0" fillId="0" fontId="17" numFmtId="0" xfId="0" applyAlignment="1" applyFont="1">
      <alignment shrinkToFit="0" wrapText="0"/>
    </xf>
    <xf borderId="0" fillId="0" fontId="14" numFmtId="0" xfId="0" applyFont="1"/>
    <xf borderId="0" fillId="0" fontId="1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horizontal="left" readingOrder="0"/>
    </xf>
    <xf borderId="0" fillId="0" fontId="11" numFmtId="0" xfId="0" applyAlignment="1" applyFont="1">
      <alignment horizontal="center" readingOrder="0" shrinkToFit="0" wrapText="1"/>
    </xf>
    <xf borderId="0" fillId="0" fontId="19" numFmtId="0" xfId="0" applyAlignment="1" applyFont="1">
      <alignment readingOrder="0"/>
    </xf>
    <xf borderId="0" fillId="0" fontId="19" numFmtId="0" xfId="0" applyAlignment="1" applyFont="1">
      <alignment readingOrder="0" shrinkToFit="0" wrapText="0"/>
    </xf>
    <xf borderId="0" fillId="0" fontId="19" numFmtId="0" xfId="0" applyFont="1"/>
    <xf borderId="0" fillId="0" fontId="14" numFmtId="0" xfId="0" applyAlignment="1" applyFont="1">
      <alignment horizontal="center"/>
    </xf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0" fillId="0" fontId="14" numFmtId="164" xfId="0" applyFont="1" applyNumberFormat="1"/>
    <xf borderId="0" fillId="0" fontId="20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1" numFmtId="3" xfId="0" applyAlignment="1" applyFont="1" applyNumberFormat="1">
      <alignment horizontal="right" vertical="bottom"/>
    </xf>
    <xf borderId="0" fillId="0" fontId="21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Target Customer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A562"/>
            </a:solidFill>
            <a:ln cmpd="sng">
              <a:solidFill>
                <a:srgbClr val="000000"/>
              </a:solidFill>
            </a:ln>
          </c:spPr>
          <c:cat>
            <c:strRef>
              <c:f>Stats!$B$3:$B$5</c:f>
            </c:strRef>
          </c:cat>
          <c:val>
            <c:numRef>
              <c:f>Stats!$C$3:$C$5</c:f>
              <c:numCache/>
            </c:numRef>
          </c:val>
        </c:ser>
        <c:axId val="1012728027"/>
        <c:axId val="1921484130"/>
      </c:barChart>
      <c:catAx>
        <c:axId val="1012728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484130"/>
      </c:catAx>
      <c:valAx>
        <c:axId val="1921484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728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Fundraising Stage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A562"/>
            </a:solidFill>
            <a:ln cmpd="sng">
              <a:solidFill>
                <a:srgbClr val="000000"/>
              </a:solidFill>
            </a:ln>
          </c:spPr>
          <c:cat>
            <c:strRef>
              <c:f>Stats!$B$8:$B$15</c:f>
            </c:strRef>
          </c:cat>
          <c:val>
            <c:numRef>
              <c:f>Stats!$C$8:$C$15</c:f>
              <c:numCache/>
            </c:numRef>
          </c:val>
        </c:ser>
        <c:axId val="2028501179"/>
        <c:axId val="72169099"/>
      </c:barChart>
      <c:catAx>
        <c:axId val="2028501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69099"/>
      </c:catAx>
      <c:valAx>
        <c:axId val="72169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501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Round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A562"/>
            </a:solidFill>
            <a:ln cmpd="sng">
              <a:solidFill>
                <a:srgbClr val="000000"/>
              </a:solidFill>
            </a:ln>
          </c:spPr>
          <c:cat>
            <c:strRef>
              <c:f>Stats!$B$18:$B$22</c:f>
            </c:strRef>
          </c:cat>
          <c:val>
            <c:numRef>
              <c:f>Stats!$C$18:$C$22</c:f>
              <c:numCache/>
            </c:numRef>
          </c:val>
        </c:ser>
        <c:axId val="1190312408"/>
        <c:axId val="99270313"/>
      </c:barChart>
      <c:catAx>
        <c:axId val="119031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70313"/>
      </c:catAx>
      <c:valAx>
        <c:axId val="99270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312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By Industry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A562"/>
            </a:solidFill>
            <a:ln cmpd="sng">
              <a:solidFill>
                <a:srgbClr val="000000"/>
              </a:solidFill>
            </a:ln>
          </c:spPr>
          <c:cat>
            <c:strRef>
              <c:f>Stats!$B$26:$B$85</c:f>
            </c:strRef>
          </c:cat>
          <c:val>
            <c:numRef>
              <c:f>Stats!$C$26:$C$85</c:f>
              <c:numCache/>
            </c:numRef>
          </c:val>
        </c:ser>
        <c:axId val="43806539"/>
        <c:axId val="957379260"/>
      </c:barChart>
      <c:catAx>
        <c:axId val="4380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379260"/>
      </c:catAx>
      <c:valAx>
        <c:axId val="957379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06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0</xdr:row>
      <xdr:rowOff>285750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352425</xdr:colOff>
      <xdr:row>17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352425</xdr:colOff>
      <xdr:row>34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352425</xdr:colOff>
      <xdr:row>54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aje.pub/pdt-alto-pharmacy" TargetMode="External"/><Relationship Id="rId190" Type="http://schemas.openxmlformats.org/officeDocument/2006/relationships/hyperlink" Target="http://haje.pub/pdt-tanbii" TargetMode="External"/><Relationship Id="rId42" Type="http://schemas.openxmlformats.org/officeDocument/2006/relationships/hyperlink" Target="https://www.glambook.co.uk/" TargetMode="External"/><Relationship Id="rId41" Type="http://schemas.openxmlformats.org/officeDocument/2006/relationships/hyperlink" Target="http://haje.pub/pdt-alto-pharmacy" TargetMode="External"/><Relationship Id="rId44" Type="http://schemas.openxmlformats.org/officeDocument/2006/relationships/hyperlink" Target="http://haje.pub/pdt-glambook" TargetMode="External"/><Relationship Id="rId194" Type="http://schemas.openxmlformats.org/officeDocument/2006/relationships/hyperlink" Target="http://www.learn.xyz" TargetMode="External"/><Relationship Id="rId43" Type="http://schemas.openxmlformats.org/officeDocument/2006/relationships/hyperlink" Target="http://haje.pub/pdt-glambook" TargetMode="External"/><Relationship Id="rId193" Type="http://schemas.openxmlformats.org/officeDocument/2006/relationships/hyperlink" Target="http://haje.pub/pdt-tomorrow-university-of-applied-sciences" TargetMode="External"/><Relationship Id="rId46" Type="http://schemas.openxmlformats.org/officeDocument/2006/relationships/hyperlink" Target="http://haje.pub/pdt-five-flute" TargetMode="External"/><Relationship Id="rId192" Type="http://schemas.openxmlformats.org/officeDocument/2006/relationships/hyperlink" Target="https://techcrunch.com/2023/09/08/sample-series-a-pitch-deck-tomorrow-university/" TargetMode="External"/><Relationship Id="rId45" Type="http://schemas.openxmlformats.org/officeDocument/2006/relationships/hyperlink" Target="https://www.fiveflute.com/" TargetMode="External"/><Relationship Id="rId191" Type="http://schemas.openxmlformats.org/officeDocument/2006/relationships/hyperlink" Target="https://www.tomorrow.university/" TargetMode="External"/><Relationship Id="rId48" Type="http://schemas.openxmlformats.org/officeDocument/2006/relationships/hyperlink" Target="https://www.miterro.com/" TargetMode="External"/><Relationship Id="rId187" Type="http://schemas.openxmlformats.org/officeDocument/2006/relationships/hyperlink" Target="http://haje.pub/pdt-busright" TargetMode="External"/><Relationship Id="rId47" Type="http://schemas.openxmlformats.org/officeDocument/2006/relationships/hyperlink" Target="http://haje.pub/pdt-five-flute" TargetMode="External"/><Relationship Id="rId186" Type="http://schemas.openxmlformats.org/officeDocument/2006/relationships/hyperlink" Target="https://techcrunch.com/2023/08/25/sample-series-a-pitch-deck-busright/" TargetMode="External"/><Relationship Id="rId185" Type="http://schemas.openxmlformats.org/officeDocument/2006/relationships/hyperlink" Target="https://busright.com/" TargetMode="External"/><Relationship Id="rId49" Type="http://schemas.openxmlformats.org/officeDocument/2006/relationships/hyperlink" Target="http://haje.pub/pdt-mi-terro" TargetMode="External"/><Relationship Id="rId184" Type="http://schemas.openxmlformats.org/officeDocument/2006/relationships/hyperlink" Target="http://haje.pub/pdt-deckmatch" TargetMode="External"/><Relationship Id="rId189" Type="http://schemas.openxmlformats.org/officeDocument/2006/relationships/hyperlink" Target="https://techcrunch.com/2023/09/01/sample-pre-seed-pitch-deck-tanbii/" TargetMode="External"/><Relationship Id="rId188" Type="http://schemas.openxmlformats.org/officeDocument/2006/relationships/hyperlink" Target="http://www.tanbii.com" TargetMode="External"/><Relationship Id="rId31" Type="http://schemas.openxmlformats.org/officeDocument/2006/relationships/hyperlink" Target="http://haje.pub/pdt-enduring-planet" TargetMode="External"/><Relationship Id="rId30" Type="http://schemas.openxmlformats.org/officeDocument/2006/relationships/hyperlink" Target="http://enduringplanet.com" TargetMode="External"/><Relationship Id="rId33" Type="http://schemas.openxmlformats.org/officeDocument/2006/relationships/hyperlink" Target="https://forethought.ai/" TargetMode="External"/><Relationship Id="rId183" Type="http://schemas.openxmlformats.org/officeDocument/2006/relationships/hyperlink" Target="https://techcrunch.com/2023/08/18/sample-seed-pitch-deck-deckmatch/" TargetMode="External"/><Relationship Id="rId32" Type="http://schemas.openxmlformats.org/officeDocument/2006/relationships/hyperlink" Target="http://haje.pub/pdt-enduring-planet" TargetMode="External"/><Relationship Id="rId182" Type="http://schemas.openxmlformats.org/officeDocument/2006/relationships/hyperlink" Target="https://www.deckmatch.com/old-home" TargetMode="External"/><Relationship Id="rId35" Type="http://schemas.openxmlformats.org/officeDocument/2006/relationships/hyperlink" Target="http://haje.pub/pdt-forethought" TargetMode="External"/><Relationship Id="rId181" Type="http://schemas.openxmlformats.org/officeDocument/2006/relationships/hyperlink" Target="http://haje.pub/pdt-anybotics-ag" TargetMode="External"/><Relationship Id="rId34" Type="http://schemas.openxmlformats.org/officeDocument/2006/relationships/hyperlink" Target="http://haje.pub/pdt-forethought" TargetMode="External"/><Relationship Id="rId180" Type="http://schemas.openxmlformats.org/officeDocument/2006/relationships/hyperlink" Target="https://techcrunch.com/2023/08/11/sample-series-b-pitch-deck-anybotics-ag/" TargetMode="External"/><Relationship Id="rId37" Type="http://schemas.openxmlformats.org/officeDocument/2006/relationships/hyperlink" Target="http://haje.pub/pdt-arkive" TargetMode="External"/><Relationship Id="rId176" Type="http://schemas.openxmlformats.org/officeDocument/2006/relationships/hyperlink" Target="https://squadtrip.com/" TargetMode="External"/><Relationship Id="rId297" Type="http://schemas.openxmlformats.org/officeDocument/2006/relationships/drawing" Target="../drawings/drawing1.xml"/><Relationship Id="rId36" Type="http://schemas.openxmlformats.org/officeDocument/2006/relationships/hyperlink" Target="https://arkive.net/" TargetMode="External"/><Relationship Id="rId175" Type="http://schemas.openxmlformats.org/officeDocument/2006/relationships/hyperlink" Target="http://haje.pub/pdt-unito" TargetMode="External"/><Relationship Id="rId296" Type="http://schemas.openxmlformats.org/officeDocument/2006/relationships/hyperlink" Target="https://haje.pub/pdt-megamod" TargetMode="External"/><Relationship Id="rId39" Type="http://schemas.openxmlformats.org/officeDocument/2006/relationships/hyperlink" Target="https://alto.com/" TargetMode="External"/><Relationship Id="rId174" Type="http://schemas.openxmlformats.org/officeDocument/2006/relationships/hyperlink" Target="https://techcrunch.com/2023/07/28/sample-series-b-pitch-deck-unito/" TargetMode="External"/><Relationship Id="rId295" Type="http://schemas.openxmlformats.org/officeDocument/2006/relationships/hyperlink" Target="https://haje.pub/pdt-megamod" TargetMode="External"/><Relationship Id="rId38" Type="http://schemas.openxmlformats.org/officeDocument/2006/relationships/hyperlink" Target="http://haje.pub/pdt-arkive" TargetMode="External"/><Relationship Id="rId173" Type="http://schemas.openxmlformats.org/officeDocument/2006/relationships/hyperlink" Target="https://unito.io/" TargetMode="External"/><Relationship Id="rId294" Type="http://schemas.openxmlformats.org/officeDocument/2006/relationships/hyperlink" Target="https://megamod.io" TargetMode="External"/><Relationship Id="rId179" Type="http://schemas.openxmlformats.org/officeDocument/2006/relationships/hyperlink" Target="http://www.anybotics.com" TargetMode="External"/><Relationship Id="rId178" Type="http://schemas.openxmlformats.org/officeDocument/2006/relationships/hyperlink" Target="http://haje.pub/pdt-squadtrip" TargetMode="External"/><Relationship Id="rId177" Type="http://schemas.openxmlformats.org/officeDocument/2006/relationships/hyperlink" Target="https://techcrunch.com/2023/08/04/sample-pre-seed-pitch-deck-squadtrip/" TargetMode="External"/><Relationship Id="rId20" Type="http://schemas.openxmlformats.org/officeDocument/2006/relationships/hyperlink" Target="https://haje.pub/pdt-lunchbox" TargetMode="External"/><Relationship Id="rId22" Type="http://schemas.openxmlformats.org/officeDocument/2006/relationships/hyperlink" Target="https://haje.pub/pdt-ergeon" TargetMode="External"/><Relationship Id="rId21" Type="http://schemas.openxmlformats.org/officeDocument/2006/relationships/hyperlink" Target="http://www.ergeon.com" TargetMode="External"/><Relationship Id="rId24" Type="http://schemas.openxmlformats.org/officeDocument/2006/relationships/hyperlink" Target="https://wayray.com/press-area/" TargetMode="External"/><Relationship Id="rId23" Type="http://schemas.openxmlformats.org/officeDocument/2006/relationships/hyperlink" Target="https://haje.pub/pdt-ergeon" TargetMode="External"/><Relationship Id="rId26" Type="http://schemas.openxmlformats.org/officeDocument/2006/relationships/hyperlink" Target="http://haje.pub/pdt-wayray" TargetMode="External"/><Relationship Id="rId25" Type="http://schemas.openxmlformats.org/officeDocument/2006/relationships/hyperlink" Target="http://haje.pub/pdt-wayray" TargetMode="External"/><Relationship Id="rId28" Type="http://schemas.openxmlformats.org/officeDocument/2006/relationships/hyperlink" Target="http://haje.pub/pdt-wilco" TargetMode="External"/><Relationship Id="rId27" Type="http://schemas.openxmlformats.org/officeDocument/2006/relationships/hyperlink" Target="https://www.trywilco.com/" TargetMode="External"/><Relationship Id="rId29" Type="http://schemas.openxmlformats.org/officeDocument/2006/relationships/hyperlink" Target="http://haje.pub/pdt-wilco" TargetMode="External"/><Relationship Id="rId11" Type="http://schemas.openxmlformats.org/officeDocument/2006/relationships/hyperlink" Target="https://haje.pub/pdt-boxedup" TargetMode="External"/><Relationship Id="rId10" Type="http://schemas.openxmlformats.org/officeDocument/2006/relationships/hyperlink" Target="https://haje.pub/pdt-boxedup" TargetMode="External"/><Relationship Id="rId13" Type="http://schemas.openxmlformats.org/officeDocument/2006/relationships/hyperlink" Target="https://haje.pub/pdt-lumigo" TargetMode="External"/><Relationship Id="rId12" Type="http://schemas.openxmlformats.org/officeDocument/2006/relationships/hyperlink" Target="https://lumigo.io/" TargetMode="External"/><Relationship Id="rId15" Type="http://schemas.openxmlformats.org/officeDocument/2006/relationships/hyperlink" Target="https://encore.dev" TargetMode="External"/><Relationship Id="rId198" Type="http://schemas.openxmlformats.org/officeDocument/2006/relationships/hyperlink" Target="http://haje.pub/pdt-transcend" TargetMode="External"/><Relationship Id="rId14" Type="http://schemas.openxmlformats.org/officeDocument/2006/relationships/hyperlink" Target="https://haje.pub/pdt-lumigo" TargetMode="External"/><Relationship Id="rId197" Type="http://schemas.openxmlformats.org/officeDocument/2006/relationships/hyperlink" Target="https://transcendinfra.com/" TargetMode="External"/><Relationship Id="rId17" Type="http://schemas.openxmlformats.org/officeDocument/2006/relationships/hyperlink" Target="https://haje.pub/pdt-encore" TargetMode="External"/><Relationship Id="rId196" Type="http://schemas.openxmlformats.org/officeDocument/2006/relationships/hyperlink" Target="http://haje.pub/pdt-learn-xyz" TargetMode="External"/><Relationship Id="rId16" Type="http://schemas.openxmlformats.org/officeDocument/2006/relationships/hyperlink" Target="https://haje.pub/pdt-encore" TargetMode="External"/><Relationship Id="rId195" Type="http://schemas.openxmlformats.org/officeDocument/2006/relationships/hyperlink" Target="https://techcrunch.com/2023/09/15/sample-seed-pitch-deck-learn-xyz/" TargetMode="External"/><Relationship Id="rId19" Type="http://schemas.openxmlformats.org/officeDocument/2006/relationships/hyperlink" Target="https://haje.pub/pdt-lunchbox" TargetMode="External"/><Relationship Id="rId18" Type="http://schemas.openxmlformats.org/officeDocument/2006/relationships/hyperlink" Target="https://lunchbox.io/" TargetMode="External"/><Relationship Id="rId199" Type="http://schemas.openxmlformats.org/officeDocument/2006/relationships/hyperlink" Target="http://haje.pub/pdt-transcend" TargetMode="External"/><Relationship Id="rId84" Type="http://schemas.openxmlformats.org/officeDocument/2006/relationships/hyperlink" Target="https://hourone.ai/" TargetMode="External"/><Relationship Id="rId83" Type="http://schemas.openxmlformats.org/officeDocument/2006/relationships/hyperlink" Target="http://haje.pub/pdt-juro" TargetMode="External"/><Relationship Id="rId86" Type="http://schemas.openxmlformats.org/officeDocument/2006/relationships/hyperlink" Target="http://haje.pub/pdt-hour-one" TargetMode="External"/><Relationship Id="rId85" Type="http://schemas.openxmlformats.org/officeDocument/2006/relationships/hyperlink" Target="http://haje.pub/pdt-hour-one" TargetMode="External"/><Relationship Id="rId88" Type="http://schemas.openxmlformats.org/officeDocument/2006/relationships/hyperlink" Target="http://haje.pub/pdt-rootine" TargetMode="External"/><Relationship Id="rId150" Type="http://schemas.openxmlformats.org/officeDocument/2006/relationships/hyperlink" Target="https://techcrunch.com/2023/05/26/sample-series-a-pitch-deck-faye/" TargetMode="External"/><Relationship Id="rId271" Type="http://schemas.openxmlformats.org/officeDocument/2006/relationships/hyperlink" Target="https://geodesic.life/" TargetMode="External"/><Relationship Id="rId87" Type="http://schemas.openxmlformats.org/officeDocument/2006/relationships/hyperlink" Target="http://www.rootine.co" TargetMode="External"/><Relationship Id="rId270" Type="http://schemas.openxmlformats.org/officeDocument/2006/relationships/hyperlink" Target="https://haje.pub/pdt-xpanceo" TargetMode="External"/><Relationship Id="rId89" Type="http://schemas.openxmlformats.org/officeDocument/2006/relationships/hyperlink" Target="http://haje.pub/pdt-rootine" TargetMode="External"/><Relationship Id="rId80" Type="http://schemas.openxmlformats.org/officeDocument/2006/relationships/hyperlink" Target="http://haje.pub/pdt-sateliot" TargetMode="External"/><Relationship Id="rId82" Type="http://schemas.openxmlformats.org/officeDocument/2006/relationships/hyperlink" Target="http://haje.pub/pdt-juro" TargetMode="External"/><Relationship Id="rId81" Type="http://schemas.openxmlformats.org/officeDocument/2006/relationships/hyperlink" Target="https://juro.com/" TargetMode="External"/><Relationship Id="rId1" Type="http://schemas.openxmlformats.org/officeDocument/2006/relationships/hyperlink" Target="http://pitch.guide/" TargetMode="External"/><Relationship Id="rId2" Type="http://schemas.openxmlformats.org/officeDocument/2006/relationships/hyperlink" Target="https://haje.pub/get-pdt-zip" TargetMode="External"/><Relationship Id="rId3" Type="http://schemas.openxmlformats.org/officeDocument/2006/relationships/hyperlink" Target="http://momentum.io" TargetMode="External"/><Relationship Id="rId149" Type="http://schemas.openxmlformats.org/officeDocument/2006/relationships/hyperlink" Target="http://www.withfaye.com" TargetMode="External"/><Relationship Id="rId4" Type="http://schemas.openxmlformats.org/officeDocument/2006/relationships/hyperlink" Target="https://techcrunch.com/2022/05/05/sample-seed-pitch-deck-momentum/" TargetMode="External"/><Relationship Id="rId148" Type="http://schemas.openxmlformats.org/officeDocument/2006/relationships/hyperlink" Target="http://haje.pub/pdt-ageras" TargetMode="External"/><Relationship Id="rId269" Type="http://schemas.openxmlformats.org/officeDocument/2006/relationships/hyperlink" Target="https://haje.pub/pdt-xpanceo" TargetMode="External"/><Relationship Id="rId9" Type="http://schemas.openxmlformats.org/officeDocument/2006/relationships/hyperlink" Target="https://tryboxedup.com/" TargetMode="External"/><Relationship Id="rId143" Type="http://schemas.openxmlformats.org/officeDocument/2006/relationships/hyperlink" Target="http://www.fibery.io" TargetMode="External"/><Relationship Id="rId264" Type="http://schemas.openxmlformats.org/officeDocument/2006/relationships/hyperlink" Target="https://haje.pub/pdt-plantee" TargetMode="External"/><Relationship Id="rId142" Type="http://schemas.openxmlformats.org/officeDocument/2006/relationships/hyperlink" Target="http://haje.pub/pdt-the-perfect-pitch-deck" TargetMode="External"/><Relationship Id="rId263" Type="http://schemas.openxmlformats.org/officeDocument/2006/relationships/hyperlink" Target="https://plant.ee/" TargetMode="External"/><Relationship Id="rId141" Type="http://schemas.openxmlformats.org/officeDocument/2006/relationships/hyperlink" Target="https://techcrunch.com/2023/05/04/the-perfect-pitch-deck/" TargetMode="External"/><Relationship Id="rId262" Type="http://schemas.openxmlformats.org/officeDocument/2006/relationships/hyperlink" Target="https://haje.pub/pdt-protecto" TargetMode="External"/><Relationship Id="rId140" Type="http://schemas.openxmlformats.org/officeDocument/2006/relationships/hyperlink" Target="http://haje.pub/pdt-careerist" TargetMode="External"/><Relationship Id="rId261" Type="http://schemas.openxmlformats.org/officeDocument/2006/relationships/hyperlink" Target="https://haje.pub/pdt-protecto" TargetMode="External"/><Relationship Id="rId5" Type="http://schemas.openxmlformats.org/officeDocument/2006/relationships/hyperlink" Target="http://haje.pub/pdt-momentum" TargetMode="External"/><Relationship Id="rId147" Type="http://schemas.openxmlformats.org/officeDocument/2006/relationships/hyperlink" Target="https://techcrunch.com/2023/05/18/sample-private-equity-pitch-deck-ageras/" TargetMode="External"/><Relationship Id="rId268" Type="http://schemas.openxmlformats.org/officeDocument/2006/relationships/hyperlink" Target="https://www.xpanceo.com/" TargetMode="External"/><Relationship Id="rId6" Type="http://schemas.openxmlformats.org/officeDocument/2006/relationships/hyperlink" Target="https://www.dutch.com/" TargetMode="External"/><Relationship Id="rId146" Type="http://schemas.openxmlformats.org/officeDocument/2006/relationships/hyperlink" Target="http://www.ageras.com" TargetMode="External"/><Relationship Id="rId267" Type="http://schemas.openxmlformats.org/officeDocument/2006/relationships/hyperlink" Target="https://haje.pub/pdt-queerie" TargetMode="External"/><Relationship Id="rId7" Type="http://schemas.openxmlformats.org/officeDocument/2006/relationships/hyperlink" Target="https://techcrunch.com/2022/05/12/sample-series-a-pitch-deck-dutch/" TargetMode="External"/><Relationship Id="rId145" Type="http://schemas.openxmlformats.org/officeDocument/2006/relationships/hyperlink" Target="http://haje.pub/pdt-fibery" TargetMode="External"/><Relationship Id="rId266" Type="http://schemas.openxmlformats.org/officeDocument/2006/relationships/hyperlink" Target="https://haje.pub/pdt-queerie" TargetMode="External"/><Relationship Id="rId8" Type="http://schemas.openxmlformats.org/officeDocument/2006/relationships/hyperlink" Target="http://haje.pub/pdt-dutch" TargetMode="External"/><Relationship Id="rId144" Type="http://schemas.openxmlformats.org/officeDocument/2006/relationships/hyperlink" Target="https://techcrunch.com/2023/05/11/sample-series-a-pitch-deck-fibery/" TargetMode="External"/><Relationship Id="rId265" Type="http://schemas.openxmlformats.org/officeDocument/2006/relationships/hyperlink" Target="https://haje.pub/pdt-plantee" TargetMode="External"/><Relationship Id="rId73" Type="http://schemas.openxmlformats.org/officeDocument/2006/relationships/hyperlink" Target="http://haje.pub/pdt-palau-project" TargetMode="External"/><Relationship Id="rId72" Type="http://schemas.openxmlformats.org/officeDocument/2006/relationships/hyperlink" Target="https://www.palauproject.com/" TargetMode="External"/><Relationship Id="rId75" Type="http://schemas.openxmlformats.org/officeDocument/2006/relationships/hyperlink" Target="http://www.gpcsmart.com" TargetMode="External"/><Relationship Id="rId74" Type="http://schemas.openxmlformats.org/officeDocument/2006/relationships/hyperlink" Target="http://haje.pub/pdt-palau-project" TargetMode="External"/><Relationship Id="rId77" Type="http://schemas.openxmlformats.org/officeDocument/2006/relationships/hyperlink" Target="http://haje.pub/pdt-syneroid-technologies-corp" TargetMode="External"/><Relationship Id="rId260" Type="http://schemas.openxmlformats.org/officeDocument/2006/relationships/hyperlink" Target="https://www.protecto.ai" TargetMode="External"/><Relationship Id="rId76" Type="http://schemas.openxmlformats.org/officeDocument/2006/relationships/hyperlink" Target="http://haje.pub/pdt-syneroid-technologies-corp" TargetMode="External"/><Relationship Id="rId79" Type="http://schemas.openxmlformats.org/officeDocument/2006/relationships/hyperlink" Target="http://haje.pub/pdt-sateliot" TargetMode="External"/><Relationship Id="rId78" Type="http://schemas.openxmlformats.org/officeDocument/2006/relationships/hyperlink" Target="https://sateliot.space/" TargetMode="External"/><Relationship Id="rId71" Type="http://schemas.openxmlformats.org/officeDocument/2006/relationships/hyperlink" Target="http://haje.pub/pdt-supliful" TargetMode="External"/><Relationship Id="rId70" Type="http://schemas.openxmlformats.org/officeDocument/2006/relationships/hyperlink" Target="http://haje.pub/pdt-supliful" TargetMode="External"/><Relationship Id="rId139" Type="http://schemas.openxmlformats.org/officeDocument/2006/relationships/hyperlink" Target="https://techcrunch.com/2023/04/27/sample-series-a-pitch-deck-careerist/" TargetMode="External"/><Relationship Id="rId138" Type="http://schemas.openxmlformats.org/officeDocument/2006/relationships/hyperlink" Target="https://www.careerist.com" TargetMode="External"/><Relationship Id="rId259" Type="http://schemas.openxmlformats.org/officeDocument/2006/relationships/hyperlink" Target="https://haje.pub/pdt-superscale" TargetMode="External"/><Relationship Id="rId137" Type="http://schemas.openxmlformats.org/officeDocument/2006/relationships/hyperlink" Target="http://haje.pub/pdt-honeycomb" TargetMode="External"/><Relationship Id="rId258" Type="http://schemas.openxmlformats.org/officeDocument/2006/relationships/hyperlink" Target="https://haje.pub/pdt-superscale" TargetMode="External"/><Relationship Id="rId132" Type="http://schemas.openxmlformats.org/officeDocument/2006/relationships/hyperlink" Target="https://diamondstandard.co/" TargetMode="External"/><Relationship Id="rId253" Type="http://schemas.openxmlformats.org/officeDocument/2006/relationships/hyperlink" Target="http://haje.pub/pdt-commandbar" TargetMode="External"/><Relationship Id="rId131" Type="http://schemas.openxmlformats.org/officeDocument/2006/relationships/hyperlink" Target="http://haje.pub/pdt-smalls" TargetMode="External"/><Relationship Id="rId252" Type="http://schemas.openxmlformats.org/officeDocument/2006/relationships/hyperlink" Target="http://haje.pub/pdt-commandbar" TargetMode="External"/><Relationship Id="rId130" Type="http://schemas.openxmlformats.org/officeDocument/2006/relationships/hyperlink" Target="https://techcrunch.com/2023/04/06/sample-series-b-pitch-deck-smalls/" TargetMode="External"/><Relationship Id="rId251" Type="http://schemas.openxmlformats.org/officeDocument/2006/relationships/hyperlink" Target="http://commandbar.com/" TargetMode="External"/><Relationship Id="rId250" Type="http://schemas.openxmlformats.org/officeDocument/2006/relationships/hyperlink" Target="http://haje.pub/pdt-equals" TargetMode="External"/><Relationship Id="rId136" Type="http://schemas.openxmlformats.org/officeDocument/2006/relationships/hyperlink" Target="https://techcrunch.com/2023/04/20/sample-series-d-pitch-deck-honeycomb/" TargetMode="External"/><Relationship Id="rId257" Type="http://schemas.openxmlformats.org/officeDocument/2006/relationships/hyperlink" Target="https://superscale.com/" TargetMode="External"/><Relationship Id="rId135" Type="http://schemas.openxmlformats.org/officeDocument/2006/relationships/hyperlink" Target="https://www.honeycomb.io/" TargetMode="External"/><Relationship Id="rId256" Type="http://schemas.openxmlformats.org/officeDocument/2006/relationships/hyperlink" Target="https://haje.pub/pdt-astek" TargetMode="External"/><Relationship Id="rId134" Type="http://schemas.openxmlformats.org/officeDocument/2006/relationships/hyperlink" Target="http://haje.pub/pdt-diamond-standard" TargetMode="External"/><Relationship Id="rId255" Type="http://schemas.openxmlformats.org/officeDocument/2006/relationships/hyperlink" Target="https://haje.pub/pdt-astek" TargetMode="External"/><Relationship Id="rId133" Type="http://schemas.openxmlformats.org/officeDocument/2006/relationships/hyperlink" Target="https://techcrunch.com/2023/04/13/sample-series-a-pitch-deck-diamond-standard/" TargetMode="External"/><Relationship Id="rId254" Type="http://schemas.openxmlformats.org/officeDocument/2006/relationships/hyperlink" Target="https://astekdx.com/" TargetMode="External"/><Relationship Id="rId62" Type="http://schemas.openxmlformats.org/officeDocument/2006/relationships/hyperlink" Target="http://haje.pub/pdt-party-round" TargetMode="External"/><Relationship Id="rId61" Type="http://schemas.openxmlformats.org/officeDocument/2006/relationships/hyperlink" Target="http://haje.pub/pdt-party-round" TargetMode="External"/><Relationship Id="rId64" Type="http://schemas.openxmlformats.org/officeDocument/2006/relationships/hyperlink" Target="http://haje.pub/pdt-rokoko" TargetMode="External"/><Relationship Id="rId63" Type="http://schemas.openxmlformats.org/officeDocument/2006/relationships/hyperlink" Target="http://rokoko.com" TargetMode="External"/><Relationship Id="rId66" Type="http://schemas.openxmlformats.org/officeDocument/2006/relationships/hyperlink" Target="http://www.vori.com" TargetMode="External"/><Relationship Id="rId172" Type="http://schemas.openxmlformats.org/officeDocument/2006/relationships/hyperlink" Target="http://haje.pub/pdt-cleanhub" TargetMode="External"/><Relationship Id="rId293" Type="http://schemas.openxmlformats.org/officeDocument/2006/relationships/hyperlink" Target="https://haje.pub/pdt-feel-therapeutics" TargetMode="External"/><Relationship Id="rId65" Type="http://schemas.openxmlformats.org/officeDocument/2006/relationships/hyperlink" Target="http://haje.pub/pdt-rokoko" TargetMode="External"/><Relationship Id="rId171" Type="http://schemas.openxmlformats.org/officeDocument/2006/relationships/hyperlink" Target="https://techcrunch.com/2023/07/21/sample-seed-pitch-deck-cleanhub/" TargetMode="External"/><Relationship Id="rId292" Type="http://schemas.openxmlformats.org/officeDocument/2006/relationships/hyperlink" Target="https://haje.pub/pdt-feel-therapeutics" TargetMode="External"/><Relationship Id="rId68" Type="http://schemas.openxmlformats.org/officeDocument/2006/relationships/hyperlink" Target="http://haje.pub/pdt-vori" TargetMode="External"/><Relationship Id="rId170" Type="http://schemas.openxmlformats.org/officeDocument/2006/relationships/hyperlink" Target="https://www.cleanhub.com/" TargetMode="External"/><Relationship Id="rId291" Type="http://schemas.openxmlformats.org/officeDocument/2006/relationships/hyperlink" Target="https://www.feeltherapeutics.com/" TargetMode="External"/><Relationship Id="rId67" Type="http://schemas.openxmlformats.org/officeDocument/2006/relationships/hyperlink" Target="http://haje.pub/pdt-vori" TargetMode="External"/><Relationship Id="rId290" Type="http://schemas.openxmlformats.org/officeDocument/2006/relationships/hyperlink" Target="https://haje.pub/PDT-kinnect" TargetMode="External"/><Relationship Id="rId60" Type="http://schemas.openxmlformats.org/officeDocument/2006/relationships/hyperlink" Target="https://www.partyround.com/" TargetMode="External"/><Relationship Id="rId165" Type="http://schemas.openxmlformats.org/officeDocument/2006/relationships/hyperlink" Target="https://techcrunch.com/2023/07/07/sample-seed-pitch-deck-nokod-security/" TargetMode="External"/><Relationship Id="rId286" Type="http://schemas.openxmlformats.org/officeDocument/2006/relationships/hyperlink" Target="https://www.raw.app" TargetMode="External"/><Relationship Id="rId69" Type="http://schemas.openxmlformats.org/officeDocument/2006/relationships/hyperlink" Target="https://supliful.com" TargetMode="External"/><Relationship Id="rId164" Type="http://schemas.openxmlformats.org/officeDocument/2006/relationships/hyperlink" Target="https://nokodsecurity.com/" TargetMode="External"/><Relationship Id="rId285" Type="http://schemas.openxmlformats.org/officeDocument/2006/relationships/hyperlink" Target="https://haje.pub/pdt-terra-one" TargetMode="External"/><Relationship Id="rId163" Type="http://schemas.openxmlformats.org/officeDocument/2006/relationships/hyperlink" Target="http://haje.pub/pdt-super" TargetMode="External"/><Relationship Id="rId284" Type="http://schemas.openxmlformats.org/officeDocument/2006/relationships/hyperlink" Target="https://haje.pub/pdt-terra-one" TargetMode="External"/><Relationship Id="rId162" Type="http://schemas.openxmlformats.org/officeDocument/2006/relationships/hyperlink" Target="https://techcrunch.com/2023/06/30/sample-series-c-pitch-deck-super-com/" TargetMode="External"/><Relationship Id="rId283" Type="http://schemas.openxmlformats.org/officeDocument/2006/relationships/hyperlink" Target="https://www.terra.one/" TargetMode="External"/><Relationship Id="rId169" Type="http://schemas.openxmlformats.org/officeDocument/2006/relationships/hyperlink" Target="http://haje.pub/pdt-goodbuy-gear" TargetMode="External"/><Relationship Id="rId168" Type="http://schemas.openxmlformats.org/officeDocument/2006/relationships/hyperlink" Target="https://techcrunch.com/2023/07/14/sample-series-a-extension-pitch-deck-goodbuy-gear/" TargetMode="External"/><Relationship Id="rId289" Type="http://schemas.openxmlformats.org/officeDocument/2006/relationships/hyperlink" Target="https://haje.pub/PDT-kinnect" TargetMode="External"/><Relationship Id="rId167" Type="http://schemas.openxmlformats.org/officeDocument/2006/relationships/hyperlink" Target="https://goodbuygear.com/" TargetMode="External"/><Relationship Id="rId288" Type="http://schemas.openxmlformats.org/officeDocument/2006/relationships/hyperlink" Target="https://haje.pub/pdt-raw" TargetMode="External"/><Relationship Id="rId166" Type="http://schemas.openxmlformats.org/officeDocument/2006/relationships/hyperlink" Target="http://haje.pub/pdt-nokod-security" TargetMode="External"/><Relationship Id="rId287" Type="http://schemas.openxmlformats.org/officeDocument/2006/relationships/hyperlink" Target="https://haje.pub/pdt-raw" TargetMode="External"/><Relationship Id="rId51" Type="http://schemas.openxmlformats.org/officeDocument/2006/relationships/hyperlink" Target="http://simbachain.com" TargetMode="External"/><Relationship Id="rId50" Type="http://schemas.openxmlformats.org/officeDocument/2006/relationships/hyperlink" Target="http://haje.pub/pdt-mi-terro" TargetMode="External"/><Relationship Id="rId53" Type="http://schemas.openxmlformats.org/officeDocument/2006/relationships/hyperlink" Target="http://haje.pub/pdt-simba-chain" TargetMode="External"/><Relationship Id="rId52" Type="http://schemas.openxmlformats.org/officeDocument/2006/relationships/hyperlink" Target="http://haje.pub/pdt-simba-chain" TargetMode="External"/><Relationship Id="rId55" Type="http://schemas.openxmlformats.org/officeDocument/2006/relationships/hyperlink" Target="http://haje.pub/pdt-front" TargetMode="External"/><Relationship Id="rId161" Type="http://schemas.openxmlformats.org/officeDocument/2006/relationships/hyperlink" Target="http://super.com" TargetMode="External"/><Relationship Id="rId282" Type="http://schemas.openxmlformats.org/officeDocument/2006/relationships/hyperlink" Target="https://haje.pub/pdt-goodcarbon" TargetMode="External"/><Relationship Id="rId54" Type="http://schemas.openxmlformats.org/officeDocument/2006/relationships/hyperlink" Target="https://front.com/" TargetMode="External"/><Relationship Id="rId160" Type="http://schemas.openxmlformats.org/officeDocument/2006/relationships/hyperlink" Target="http://haje.pub/pdt-netmaker" TargetMode="External"/><Relationship Id="rId281" Type="http://schemas.openxmlformats.org/officeDocument/2006/relationships/hyperlink" Target="https://haje.pub/pdt-goodcarbon" TargetMode="External"/><Relationship Id="rId57" Type="http://schemas.openxmlformats.org/officeDocument/2006/relationships/hyperlink" Target="http://helu.io" TargetMode="External"/><Relationship Id="rId280" Type="http://schemas.openxmlformats.org/officeDocument/2006/relationships/hyperlink" Target="https://goodcarbon.earth/en" TargetMode="External"/><Relationship Id="rId56" Type="http://schemas.openxmlformats.org/officeDocument/2006/relationships/hyperlink" Target="http://haje.pub/pdt-front" TargetMode="External"/><Relationship Id="rId159" Type="http://schemas.openxmlformats.org/officeDocument/2006/relationships/hyperlink" Target="https://techcrunch.com/2023/06/16/sample-seed-pitch-deck-netmaker/?tpcc=tcplustwitter" TargetMode="External"/><Relationship Id="rId59" Type="http://schemas.openxmlformats.org/officeDocument/2006/relationships/hyperlink" Target="http://haje.pub/pdt-helu" TargetMode="External"/><Relationship Id="rId154" Type="http://schemas.openxmlformats.org/officeDocument/2006/relationships/hyperlink" Target="http://haje.pub/pdt-oii-ai" TargetMode="External"/><Relationship Id="rId275" Type="http://schemas.openxmlformats.org/officeDocument/2006/relationships/hyperlink" Target="https://haje.pub/pdt-noqx" TargetMode="External"/><Relationship Id="rId58" Type="http://schemas.openxmlformats.org/officeDocument/2006/relationships/hyperlink" Target="http://haje.pub/pdt-helu" TargetMode="External"/><Relationship Id="rId153" Type="http://schemas.openxmlformats.org/officeDocument/2006/relationships/hyperlink" Target="https://techcrunch.com/2023/06/02/sample-seed-pitch-deck-oii-ai/" TargetMode="External"/><Relationship Id="rId274" Type="http://schemas.openxmlformats.org/officeDocument/2006/relationships/hyperlink" Target="https://noqx.io/" TargetMode="External"/><Relationship Id="rId152" Type="http://schemas.openxmlformats.org/officeDocument/2006/relationships/hyperlink" Target="https://www.oii.ai/" TargetMode="External"/><Relationship Id="rId273" Type="http://schemas.openxmlformats.org/officeDocument/2006/relationships/hyperlink" Target="https://haje.pub/pdt-geodesic-life" TargetMode="External"/><Relationship Id="rId151" Type="http://schemas.openxmlformats.org/officeDocument/2006/relationships/hyperlink" Target="http://haje.pub/pdt-faye" TargetMode="External"/><Relationship Id="rId272" Type="http://schemas.openxmlformats.org/officeDocument/2006/relationships/hyperlink" Target="https://haje.pub/pdt-geodesic-life" TargetMode="External"/><Relationship Id="rId158" Type="http://schemas.openxmlformats.org/officeDocument/2006/relationships/hyperlink" Target="http://netmaker.io" TargetMode="External"/><Relationship Id="rId279" Type="http://schemas.openxmlformats.org/officeDocument/2006/relationships/hyperlink" Target="https://haje.pub/pdt-cloudsmith" TargetMode="External"/><Relationship Id="rId157" Type="http://schemas.openxmlformats.org/officeDocument/2006/relationships/hyperlink" Target="http://haje.pub/pdt-culturepulse" TargetMode="External"/><Relationship Id="rId278" Type="http://schemas.openxmlformats.org/officeDocument/2006/relationships/hyperlink" Target="https://haje.pub/pdt-cloudsmith" TargetMode="External"/><Relationship Id="rId156" Type="http://schemas.openxmlformats.org/officeDocument/2006/relationships/hyperlink" Target="https://techcrunch.com/2023/06/09/sample-seed-pitch-deck-culturepulse/" TargetMode="External"/><Relationship Id="rId277" Type="http://schemas.openxmlformats.org/officeDocument/2006/relationships/hyperlink" Target="https://cloudsmith.com" TargetMode="External"/><Relationship Id="rId155" Type="http://schemas.openxmlformats.org/officeDocument/2006/relationships/hyperlink" Target="http://www.culturepulse.ai" TargetMode="External"/><Relationship Id="rId276" Type="http://schemas.openxmlformats.org/officeDocument/2006/relationships/hyperlink" Target="https://haje.pub/pdt-noqx" TargetMode="External"/><Relationship Id="rId107" Type="http://schemas.openxmlformats.org/officeDocument/2006/relationships/hyperlink" Target="http://haje.pub/pdt-spinach" TargetMode="External"/><Relationship Id="rId228" Type="http://schemas.openxmlformats.org/officeDocument/2006/relationships/hyperlink" Target="http://haje.pub/pdt-homecooks" TargetMode="External"/><Relationship Id="rId106" Type="http://schemas.openxmlformats.org/officeDocument/2006/relationships/hyperlink" Target="http://haje.pub/pdt-spinach" TargetMode="External"/><Relationship Id="rId227" Type="http://schemas.openxmlformats.org/officeDocument/2006/relationships/hyperlink" Target="https://home-cooks.co.uk/" TargetMode="External"/><Relationship Id="rId105" Type="http://schemas.openxmlformats.org/officeDocument/2006/relationships/hyperlink" Target="https://spinach.io/" TargetMode="External"/><Relationship Id="rId226" Type="http://schemas.openxmlformats.org/officeDocument/2006/relationships/hyperlink" Target="http://haje.pub/pdt-metafuels" TargetMode="External"/><Relationship Id="rId104" Type="http://schemas.openxmlformats.org/officeDocument/2006/relationships/hyperlink" Target="http://haje.pub/pdt-laoshi" TargetMode="External"/><Relationship Id="rId225" Type="http://schemas.openxmlformats.org/officeDocument/2006/relationships/hyperlink" Target="http://haje.pub/pdt-metafuels" TargetMode="External"/><Relationship Id="rId109" Type="http://schemas.openxmlformats.org/officeDocument/2006/relationships/hyperlink" Target="http://haje.pub/pdt-incymo-ai" TargetMode="External"/><Relationship Id="rId108" Type="http://schemas.openxmlformats.org/officeDocument/2006/relationships/hyperlink" Target="https://incymo.ai/" TargetMode="External"/><Relationship Id="rId229" Type="http://schemas.openxmlformats.org/officeDocument/2006/relationships/hyperlink" Target="http://haje.pub/pdt-homecooks" TargetMode="External"/><Relationship Id="rId220" Type="http://schemas.openxmlformats.org/officeDocument/2006/relationships/hyperlink" Target="http://haje.pub/pdt-fifth-dimension-ai" TargetMode="External"/><Relationship Id="rId103" Type="http://schemas.openxmlformats.org/officeDocument/2006/relationships/hyperlink" Target="http://haje.pub/pdt-laoshi" TargetMode="External"/><Relationship Id="rId224" Type="http://schemas.openxmlformats.org/officeDocument/2006/relationships/hyperlink" Target="https://metafuels.ch/" TargetMode="External"/><Relationship Id="rId102" Type="http://schemas.openxmlformats.org/officeDocument/2006/relationships/hyperlink" Target="https://laoshi.io" TargetMode="External"/><Relationship Id="rId223" Type="http://schemas.openxmlformats.org/officeDocument/2006/relationships/hyperlink" Target="http://haje.pub/pdt-scalestack" TargetMode="External"/><Relationship Id="rId101" Type="http://schemas.openxmlformats.org/officeDocument/2006/relationships/hyperlink" Target="http://haje.pub/pdt-orange" TargetMode="External"/><Relationship Id="rId222" Type="http://schemas.openxmlformats.org/officeDocument/2006/relationships/hyperlink" Target="http://haje.pub/pdt-scalestack" TargetMode="External"/><Relationship Id="rId100" Type="http://schemas.openxmlformats.org/officeDocument/2006/relationships/hyperlink" Target="http://haje.pub/pdt-orange" TargetMode="External"/><Relationship Id="rId221" Type="http://schemas.openxmlformats.org/officeDocument/2006/relationships/hyperlink" Target="https://scalestack.ai/" TargetMode="External"/><Relationship Id="rId217" Type="http://schemas.openxmlformats.org/officeDocument/2006/relationships/hyperlink" Target="http://haje.pub/pdt-phospholutions" TargetMode="External"/><Relationship Id="rId216" Type="http://schemas.openxmlformats.org/officeDocument/2006/relationships/hyperlink" Target="http://haje.pub/pdt-phospholutions" TargetMode="External"/><Relationship Id="rId215" Type="http://schemas.openxmlformats.org/officeDocument/2006/relationships/hyperlink" Target="https://www.phospholutions.com/" TargetMode="External"/><Relationship Id="rId214" Type="http://schemas.openxmlformats.org/officeDocument/2006/relationships/hyperlink" Target="http://haje.pub/pdt-cancervax" TargetMode="External"/><Relationship Id="rId219" Type="http://schemas.openxmlformats.org/officeDocument/2006/relationships/hyperlink" Target="http://haje.pub/pdt-fifth-dimension-ai" TargetMode="External"/><Relationship Id="rId218" Type="http://schemas.openxmlformats.org/officeDocument/2006/relationships/hyperlink" Target="https://www.fifthdimensionai.com/" TargetMode="External"/><Relationship Id="rId213" Type="http://schemas.openxmlformats.org/officeDocument/2006/relationships/hyperlink" Target="http://haje.pub/pdt-cancervax" TargetMode="External"/><Relationship Id="rId212" Type="http://schemas.openxmlformats.org/officeDocument/2006/relationships/hyperlink" Target="https://cancervax.com/" TargetMode="External"/><Relationship Id="rId211" Type="http://schemas.openxmlformats.org/officeDocument/2006/relationships/hyperlink" Target="http://haje.pub/pdt-aether" TargetMode="External"/><Relationship Id="rId210" Type="http://schemas.openxmlformats.org/officeDocument/2006/relationships/hyperlink" Target="http://haje.pub/pdt-aether" TargetMode="External"/><Relationship Id="rId129" Type="http://schemas.openxmlformats.org/officeDocument/2006/relationships/hyperlink" Target="http://smalls.com" TargetMode="External"/><Relationship Id="rId128" Type="http://schemas.openxmlformats.org/officeDocument/2006/relationships/hyperlink" Target="http://haje.pub/pdt-northspyre" TargetMode="External"/><Relationship Id="rId249" Type="http://schemas.openxmlformats.org/officeDocument/2006/relationships/hyperlink" Target="http://haje.pub/pdt-equals" TargetMode="External"/><Relationship Id="rId127" Type="http://schemas.openxmlformats.org/officeDocument/2006/relationships/hyperlink" Target="https://techcrunch.com/2023/03/30/sample-series-b-pitch-deck-northspyre/" TargetMode="External"/><Relationship Id="rId248" Type="http://schemas.openxmlformats.org/officeDocument/2006/relationships/hyperlink" Target="http://equals.com" TargetMode="External"/><Relationship Id="rId126" Type="http://schemas.openxmlformats.org/officeDocument/2006/relationships/hyperlink" Target="https://www.northspyre.com/" TargetMode="External"/><Relationship Id="rId247" Type="http://schemas.openxmlformats.org/officeDocument/2006/relationships/hyperlink" Target="http://haje.pub/pdt-xyte" TargetMode="External"/><Relationship Id="rId121" Type="http://schemas.openxmlformats.org/officeDocument/2006/relationships/hyperlink" Target="http://haje.pub/pdt-studentfinance" TargetMode="External"/><Relationship Id="rId242" Type="http://schemas.openxmlformats.org/officeDocument/2006/relationships/hyperlink" Target="https://phage-lab.com/" TargetMode="External"/><Relationship Id="rId120" Type="http://schemas.openxmlformats.org/officeDocument/2006/relationships/hyperlink" Target="http://www.studentfinance.com" TargetMode="External"/><Relationship Id="rId241" Type="http://schemas.openxmlformats.org/officeDocument/2006/relationships/hyperlink" Target="http://haje.pub/pdt-doola" TargetMode="External"/><Relationship Id="rId240" Type="http://schemas.openxmlformats.org/officeDocument/2006/relationships/hyperlink" Target="http://haje.pub/pdt-doola" TargetMode="External"/><Relationship Id="rId125" Type="http://schemas.openxmlformats.org/officeDocument/2006/relationships/hyperlink" Target="http://haje.pub/pdt-prelaunch" TargetMode="External"/><Relationship Id="rId246" Type="http://schemas.openxmlformats.org/officeDocument/2006/relationships/hyperlink" Target="http://haje.pub/pdt-xyte" TargetMode="External"/><Relationship Id="rId124" Type="http://schemas.openxmlformats.org/officeDocument/2006/relationships/hyperlink" Target="https://techcrunch.com/2023/03/23/sample-seed-pitch-deck-prelaunch-dot-com/" TargetMode="External"/><Relationship Id="rId245" Type="http://schemas.openxmlformats.org/officeDocument/2006/relationships/hyperlink" Target="https://www.xyte.io/" TargetMode="External"/><Relationship Id="rId123" Type="http://schemas.openxmlformats.org/officeDocument/2006/relationships/hyperlink" Target="https://prelaunch.com/" TargetMode="External"/><Relationship Id="rId244" Type="http://schemas.openxmlformats.org/officeDocument/2006/relationships/hyperlink" Target="http://haje.pub/pdt-phagelab" TargetMode="External"/><Relationship Id="rId122" Type="http://schemas.openxmlformats.org/officeDocument/2006/relationships/hyperlink" Target="http://haje.pub/pdt-studentfinance" TargetMode="External"/><Relationship Id="rId243" Type="http://schemas.openxmlformats.org/officeDocument/2006/relationships/hyperlink" Target="http://haje.pub/pdt-phagelab" TargetMode="External"/><Relationship Id="rId95" Type="http://schemas.openxmlformats.org/officeDocument/2006/relationships/hyperlink" Target="http://haje.pub/pdt-card-blanch" TargetMode="External"/><Relationship Id="rId94" Type="http://schemas.openxmlformats.org/officeDocument/2006/relationships/hyperlink" Target="http://haje.pub/pdt-card-blanch" TargetMode="External"/><Relationship Id="rId97" Type="http://schemas.openxmlformats.org/officeDocument/2006/relationships/hyperlink" Target="http://haje.pub/pdt-scrintal" TargetMode="External"/><Relationship Id="rId96" Type="http://schemas.openxmlformats.org/officeDocument/2006/relationships/hyperlink" Target="https://www.scrintal.com/" TargetMode="External"/><Relationship Id="rId99" Type="http://schemas.openxmlformats.org/officeDocument/2006/relationships/hyperlink" Target="https://www.orangecharger.com/" TargetMode="External"/><Relationship Id="rId98" Type="http://schemas.openxmlformats.org/officeDocument/2006/relationships/hyperlink" Target="http://haje.pub/pdt-scrintal" TargetMode="External"/><Relationship Id="rId91" Type="http://schemas.openxmlformats.org/officeDocument/2006/relationships/hyperlink" Target="http://haje.pub/pdt-medcrypt" TargetMode="External"/><Relationship Id="rId90" Type="http://schemas.openxmlformats.org/officeDocument/2006/relationships/hyperlink" Target="https://medcrypt.com/" TargetMode="External"/><Relationship Id="rId93" Type="http://schemas.openxmlformats.org/officeDocument/2006/relationships/hyperlink" Target="http://cardblanch.com" TargetMode="External"/><Relationship Id="rId92" Type="http://schemas.openxmlformats.org/officeDocument/2006/relationships/hyperlink" Target="http://haje.pub/pdt-medcrypt" TargetMode="External"/><Relationship Id="rId118" Type="http://schemas.openxmlformats.org/officeDocument/2006/relationships/hyperlink" Target="http://haje.pub/pdt-mio-marketplace" TargetMode="External"/><Relationship Id="rId239" Type="http://schemas.openxmlformats.org/officeDocument/2006/relationships/hyperlink" Target="https://www.doola.com/" TargetMode="External"/><Relationship Id="rId117" Type="http://schemas.openxmlformats.org/officeDocument/2006/relationships/hyperlink" Target="http://miomarketplace.com" TargetMode="External"/><Relationship Id="rId238" Type="http://schemas.openxmlformats.org/officeDocument/2006/relationships/hyperlink" Target="http://haje.pub/pdt-ryplzz" TargetMode="External"/><Relationship Id="rId116" Type="http://schemas.openxmlformats.org/officeDocument/2006/relationships/hyperlink" Target="http://haje.pub/pdt-gable" TargetMode="External"/><Relationship Id="rId237" Type="http://schemas.openxmlformats.org/officeDocument/2006/relationships/hyperlink" Target="http://haje.pub/pdt-ryplzz" TargetMode="External"/><Relationship Id="rId115" Type="http://schemas.openxmlformats.org/officeDocument/2006/relationships/hyperlink" Target="http://haje.pub/pdt-gable" TargetMode="External"/><Relationship Id="rId236" Type="http://schemas.openxmlformats.org/officeDocument/2006/relationships/hyperlink" Target="https://rypplzz.com/" TargetMode="External"/><Relationship Id="rId119" Type="http://schemas.openxmlformats.org/officeDocument/2006/relationships/hyperlink" Target="http://haje.pub/pdt-mio-marketplace" TargetMode="External"/><Relationship Id="rId110" Type="http://schemas.openxmlformats.org/officeDocument/2006/relationships/hyperlink" Target="http://haje.pub/pdt-incymo-ai" TargetMode="External"/><Relationship Id="rId231" Type="http://schemas.openxmlformats.org/officeDocument/2006/relationships/hyperlink" Target="http://haje.pub/pdt-pepper-bio" TargetMode="External"/><Relationship Id="rId230" Type="http://schemas.openxmlformats.org/officeDocument/2006/relationships/hyperlink" Target="https://pepper.bio/" TargetMode="External"/><Relationship Id="rId114" Type="http://schemas.openxmlformats.org/officeDocument/2006/relationships/hyperlink" Target="https://www.gable.to/" TargetMode="External"/><Relationship Id="rId235" Type="http://schemas.openxmlformats.org/officeDocument/2006/relationships/hyperlink" Target="http://haje.pub/pdt-qortex" TargetMode="External"/><Relationship Id="rId113" Type="http://schemas.openxmlformats.org/officeDocument/2006/relationships/hyperlink" Target="http://haje.pub/pdt-uber" TargetMode="External"/><Relationship Id="rId234" Type="http://schemas.openxmlformats.org/officeDocument/2006/relationships/hyperlink" Target="http://haje.pub/pdt-qortex" TargetMode="External"/><Relationship Id="rId112" Type="http://schemas.openxmlformats.org/officeDocument/2006/relationships/hyperlink" Target="http://haje.pub/pdt-uber" TargetMode="External"/><Relationship Id="rId233" Type="http://schemas.openxmlformats.org/officeDocument/2006/relationships/hyperlink" Target="https://www.qortex.ai/" TargetMode="External"/><Relationship Id="rId111" Type="http://schemas.openxmlformats.org/officeDocument/2006/relationships/hyperlink" Target="http://uber.com/" TargetMode="External"/><Relationship Id="rId232" Type="http://schemas.openxmlformats.org/officeDocument/2006/relationships/hyperlink" Target="http://haje.pub/pdt-pepper-bio" TargetMode="External"/><Relationship Id="rId206" Type="http://schemas.openxmlformats.org/officeDocument/2006/relationships/hyperlink" Target="https://www.splitbrick.finance/" TargetMode="External"/><Relationship Id="rId205" Type="http://schemas.openxmlformats.org/officeDocument/2006/relationships/hyperlink" Target="http://haje.pub/pdt-lupiya" TargetMode="External"/><Relationship Id="rId204" Type="http://schemas.openxmlformats.org/officeDocument/2006/relationships/hyperlink" Target="http://haje.pub/pdt-lupiya" TargetMode="External"/><Relationship Id="rId203" Type="http://schemas.openxmlformats.org/officeDocument/2006/relationships/hyperlink" Target="https://www.lupiya.com/" TargetMode="External"/><Relationship Id="rId209" Type="http://schemas.openxmlformats.org/officeDocument/2006/relationships/hyperlink" Target="https://www.aetherbio.com/" TargetMode="External"/><Relationship Id="rId208" Type="http://schemas.openxmlformats.org/officeDocument/2006/relationships/hyperlink" Target="http://haje.pub/pdt-splitbrick" TargetMode="External"/><Relationship Id="rId207" Type="http://schemas.openxmlformats.org/officeDocument/2006/relationships/hyperlink" Target="http://haje.pub/pdt-splitbrick" TargetMode="External"/><Relationship Id="rId202" Type="http://schemas.openxmlformats.org/officeDocument/2006/relationships/hyperlink" Target="http://haje.pub/pdt-point-me" TargetMode="External"/><Relationship Id="rId201" Type="http://schemas.openxmlformats.org/officeDocument/2006/relationships/hyperlink" Target="http://haje.pub/pdt-point-me" TargetMode="External"/><Relationship Id="rId200" Type="http://schemas.openxmlformats.org/officeDocument/2006/relationships/hyperlink" Target="http://point.me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20.75"/>
    <col customWidth="1" min="2" max="2" width="6.75"/>
    <col customWidth="1" min="3" max="3" width="17.88"/>
    <col customWidth="1" min="4" max="4" width="64.75"/>
    <col customWidth="1" min="5" max="5" width="14.63"/>
    <col hidden="1" min="6" max="53" width="12.63"/>
  </cols>
  <sheetData>
    <row r="1">
      <c r="A1" s="1" t="str">
        <f>CONCATENATE(C6, " TechCrunch Pitch Deck Teardowns")</f>
        <v>100 TechCrunch Pitch Deck Teardowns</v>
      </c>
      <c r="E1" s="2"/>
      <c r="L1" s="3"/>
    </row>
    <row r="2">
      <c r="A2" s="4" t="s">
        <v>0</v>
      </c>
      <c r="B2" s="5"/>
      <c r="C2" s="5"/>
      <c r="D2" s="6"/>
      <c r="L2" s="3"/>
    </row>
    <row r="3" ht="4.5" customHeight="1">
      <c r="A3" s="7"/>
      <c r="B3" s="8"/>
      <c r="C3" s="8"/>
      <c r="D3" s="9"/>
      <c r="E3" s="10"/>
      <c r="F3" s="11"/>
      <c r="G3" s="11"/>
      <c r="H3" s="11"/>
      <c r="I3" s="11"/>
      <c r="J3" s="11"/>
      <c r="K3" s="11"/>
      <c r="L3" s="12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>
      <c r="A4" s="13" t="s">
        <v>1</v>
      </c>
      <c r="F4" s="6"/>
      <c r="G4" s="6"/>
      <c r="H4" s="6"/>
      <c r="L4" s="3"/>
    </row>
    <row r="5" ht="4.5" customHeight="1">
      <c r="A5" s="7"/>
      <c r="B5" s="8"/>
      <c r="C5" s="8"/>
      <c r="D5" s="9"/>
      <c r="E5" s="10"/>
      <c r="F5" s="11"/>
      <c r="G5" s="11"/>
      <c r="H5" s="11"/>
      <c r="I5" s="11"/>
      <c r="J5" s="11"/>
      <c r="K5" s="11"/>
      <c r="L5" s="12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>
      <c r="A6" s="14" t="s">
        <v>2</v>
      </c>
      <c r="C6" s="15">
        <v>100.0</v>
      </c>
      <c r="D6" s="16"/>
      <c r="I6" s="17"/>
      <c r="J6" s="17"/>
      <c r="K6" s="17"/>
      <c r="L6" s="18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</row>
    <row r="7">
      <c r="A7" s="14" t="s">
        <v>3</v>
      </c>
      <c r="C7" s="15" t="str">
        <f>concatenate("$",round(sum(I:I)/1000000000,1)," billion")</f>
        <v>$1.5 billion</v>
      </c>
      <c r="D7" s="17"/>
      <c r="E7" s="19"/>
      <c r="F7" s="20" t="s">
        <v>4</v>
      </c>
      <c r="G7" s="20" t="s">
        <v>5</v>
      </c>
      <c r="H7" s="20" t="s">
        <v>6</v>
      </c>
      <c r="I7" s="20" t="s">
        <v>7</v>
      </c>
      <c r="J7" s="20"/>
      <c r="K7" s="20" t="s">
        <v>8</v>
      </c>
      <c r="L7" s="21" t="s">
        <v>9</v>
      </c>
      <c r="M7" s="20" t="s">
        <v>10</v>
      </c>
      <c r="N7" s="20" t="s">
        <v>11</v>
      </c>
      <c r="O7" s="20" t="s">
        <v>12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</row>
    <row r="8">
      <c r="A8" s="22" t="s">
        <v>13</v>
      </c>
      <c r="B8" s="23" t="s">
        <v>14</v>
      </c>
      <c r="C8" s="23" t="s">
        <v>15</v>
      </c>
      <c r="D8" s="22" t="s">
        <v>16</v>
      </c>
      <c r="E8" s="24" t="s">
        <v>17</v>
      </c>
      <c r="F8" s="25" t="s">
        <v>13</v>
      </c>
      <c r="G8" s="25" t="s">
        <v>18</v>
      </c>
      <c r="H8" s="25" t="s">
        <v>19</v>
      </c>
      <c r="I8" s="25" t="s">
        <v>20</v>
      </c>
      <c r="J8" s="25"/>
      <c r="K8" s="25" t="s">
        <v>15</v>
      </c>
      <c r="L8" s="26" t="s">
        <v>21</v>
      </c>
      <c r="M8" s="27"/>
      <c r="N8" s="25" t="s">
        <v>22</v>
      </c>
      <c r="O8" s="25" t="s">
        <v>23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</row>
    <row r="9">
      <c r="A9" s="28" t="str">
        <f t="shared" ref="A9:A205" si="1">HYPERLINK(G9,F9)</f>
        <v>Minut</v>
      </c>
      <c r="B9" s="29" t="str">
        <f t="shared" ref="B9:B205" si="2">if(isblank(A9),"",
  if(I9&gt;999999,concatenate("$",I9/1000000,"m"),concatenate("$",I9/1000,"k")))</f>
        <v>$15m</v>
      </c>
      <c r="C9" s="29" t="str">
        <f t="shared" ref="C9:C205" si="3">K9</f>
        <v>Series B</v>
      </c>
      <c r="D9" s="28" t="str">
        <f t="shared" ref="D9:D205" si="4">if(isblank(A9),"",HYPERLINK(L9,CONCATENATE("Teardown of ", A9,"'s ", B9, " ", C9 , " deck")))</f>
        <v>Teardown of Minut's $15m Series B deck</v>
      </c>
      <c r="E9" s="30" t="str">
        <f t="shared" ref="E9:E205" si="5">SUBSTITUTE(M9, "PDT Published ","")</f>
        <v>Apr 28, 2022</v>
      </c>
      <c r="F9" s="31" t="str">
        <f>IFERROR(__xludf.DUMMYFUNCTION("IMPORTRANGE(""https://docs.google.com/spreadsheets/d/1OQ79yI7ybUs56Ub4nNEkzOqn6dcjxpoFzyHkXs7Li7k/edit#gid=140951978"",concatenate(F7,""2:"",F7,1+$C$6))"),"Minut")</f>
        <v>Minut</v>
      </c>
      <c r="G9" s="32" t="str">
        <f>IFERROR(__xludf.DUMMYFUNCTION("IMPORTRANGE(""https://docs.google.com/spreadsheets/d/1OQ79yI7ybUs56Ub4nNEkzOqn6dcjxpoFzyHkXs7Li7k/edit#gid=140951978"",concatenate(G7,""2:"",G7,1+$C$6))"),"https://www.minut.com/")</f>
        <v>https://www.minut.com/</v>
      </c>
      <c r="H9" s="31" t="str">
        <f>IFERROR(__xludf.DUMMYFUNCTION("IMPORTRANGE(""https://docs.google.com/spreadsheets/d/1OQ79yI7ybUs56Ub4nNEkzOqn6dcjxpoFzyHkXs7Li7k/edit#gid=140951978"",concatenate(H7,""2:"",H7,1+$C$6))"),"$15M")</f>
        <v>$15M</v>
      </c>
      <c r="I9" s="33">
        <f>IFERROR(__xludf.DUMMYFUNCTION("IMPORTRANGE(""https://docs.google.com/spreadsheets/d/1OQ79yI7ybUs56Ub4nNEkzOqn6dcjxpoFzyHkXs7Li7k/edit#gid=140951978"",concatenate(I7,""2:"",I7,1+$C$6))"),1.5E7)</f>
        <v>15000000</v>
      </c>
      <c r="K9" s="31" t="str">
        <f>IFERROR(__xludf.DUMMYFUNCTION("IMPORTRANGE(""https://docs.google.com/spreadsheets/d/1OQ79yI7ybUs56Ub4nNEkzOqn6dcjxpoFzyHkXs7Li7k/edit#gid=140951978"",concatenate(K7,""2:"",K7,1+$C$6))"),"Series B")</f>
        <v>Series B</v>
      </c>
      <c r="L9" s="34" t="str">
        <f>IFERROR(__xludf.DUMMYFUNCTION("IMPORTRANGE(""https://docs.google.com/spreadsheets/d/1OQ79yI7ybUs56Ub4nNEkzOqn6dcjxpoFzyHkXs7Li7k/edit#gid=140951978"",concatenate(L7,""2:"",L7,1+$C$6))"),"http://haje.pub/pdt-minut")</f>
        <v>http://haje.pub/pdt-minut</v>
      </c>
      <c r="M9" s="34" t="str">
        <f>IFERROR(__xludf.DUMMYFUNCTION("IMPORTRANGE(""https://docs.google.com/spreadsheets/d/1OQ79yI7ybUs56Ub4nNEkzOqn6dcjxpoFzyHkXs7Li7k/edit#gid=140951978"",concatenate(M7,""2:"",M7,1+$C$6))"),"PDT Published Apr 28, 2022")</f>
        <v>PDT Published Apr 28, 2022</v>
      </c>
      <c r="N9" s="3" t="str">
        <f>IFERROR(__xludf.DUMMYFUNCTION("IMPORTRANGE(""https://docs.google.com/spreadsheets/d/1OQ79yI7ybUs56Ub4nNEkzOqn6dcjxpoFzyHkXs7Li7k/edit#gid=140951978"",concatenate(N7,""2:"",N7,1+$C$6))"),"B2C")</f>
        <v>B2C</v>
      </c>
      <c r="O9" s="3" t="str">
        <f>IFERROR(__xludf.DUMMYFUNCTION("IMPORTRANGE(""https://docs.google.com/spreadsheets/d/1OQ79yI7ybUs56Ub4nNEkzOqn6dcjxpoFzyHkXs7Li7k/edit#gid=140951978"",concatenate(O7,""2:"",O7,1+$C$6))"),"Hospitality")</f>
        <v>Hospitality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>
      <c r="A10" s="28" t="str">
        <f t="shared" si="1"/>
        <v>Momentum</v>
      </c>
      <c r="B10" s="29" t="str">
        <f t="shared" si="2"/>
        <v>$5m</v>
      </c>
      <c r="C10" s="29" t="str">
        <f t="shared" si="3"/>
        <v>Seed</v>
      </c>
      <c r="D10" s="28" t="str">
        <f t="shared" si="4"/>
        <v>Teardown of Momentum's $5m Seed deck</v>
      </c>
      <c r="E10" s="30" t="str">
        <f t="shared" si="5"/>
        <v>May 5, 2022</v>
      </c>
      <c r="F10" s="31" t="str">
        <f>IFERROR(__xludf.DUMMYFUNCTION("""COMPUTED_VALUE"""),"Momentum")</f>
        <v>Momentum</v>
      </c>
      <c r="G10" s="32" t="str">
        <f>IFERROR(__xludf.DUMMYFUNCTION("""COMPUTED_VALUE"""),"momentum.io")</f>
        <v>momentum.io</v>
      </c>
      <c r="H10" s="31" t="str">
        <f>IFERROR(__xludf.DUMMYFUNCTION("""COMPUTED_VALUE"""),"$5M")</f>
        <v>$5M</v>
      </c>
      <c r="I10" s="33">
        <f>IFERROR(__xludf.DUMMYFUNCTION("""COMPUTED_VALUE"""),5000000.0)</f>
        <v>5000000</v>
      </c>
      <c r="K10" s="31" t="str">
        <f>IFERROR(__xludf.DUMMYFUNCTION("""COMPUTED_VALUE"""),"Seed")</f>
        <v>Seed</v>
      </c>
      <c r="L10" s="34" t="str">
        <f>IFERROR(__xludf.DUMMYFUNCTION("""COMPUTED_VALUE"""),"http://haje.pub/pdt-momentum")</f>
        <v>http://haje.pub/pdt-momentum</v>
      </c>
      <c r="M10" s="34" t="str">
        <f>IFERROR(__xludf.DUMMYFUNCTION("""COMPUTED_VALUE"""),"PDT Published May 5, 2022")</f>
        <v>PDT Published May 5, 2022</v>
      </c>
      <c r="N10" s="31" t="str">
        <f>IFERROR(__xludf.DUMMYFUNCTION("""COMPUTED_VALUE"""),"B2B")</f>
        <v>B2B</v>
      </c>
      <c r="O10" s="31" t="str">
        <f>IFERROR(__xludf.DUMMYFUNCTION("""COMPUTED_VALUE"""),"Sales")</f>
        <v>Sales</v>
      </c>
    </row>
    <row r="11">
      <c r="A11" s="28" t="str">
        <f t="shared" si="1"/>
        <v>Dutch</v>
      </c>
      <c r="B11" s="29" t="str">
        <f t="shared" si="2"/>
        <v>$20m</v>
      </c>
      <c r="C11" s="29" t="str">
        <f t="shared" si="3"/>
        <v>Series A</v>
      </c>
      <c r="D11" s="28" t="str">
        <f t="shared" si="4"/>
        <v>Teardown of Dutch's $20m Series A deck</v>
      </c>
      <c r="E11" s="30" t="str">
        <f t="shared" si="5"/>
        <v>May 12, 2022</v>
      </c>
      <c r="F11" s="31" t="str">
        <f>IFERROR(__xludf.DUMMYFUNCTION("""COMPUTED_VALUE"""),"Dutch")</f>
        <v>Dutch</v>
      </c>
      <c r="G11" s="32" t="str">
        <f>IFERROR(__xludf.DUMMYFUNCTION("""COMPUTED_VALUE"""),"https://www.dutch.com/")</f>
        <v>https://www.dutch.com/</v>
      </c>
      <c r="H11" s="31" t="str">
        <f>IFERROR(__xludf.DUMMYFUNCTION("""COMPUTED_VALUE"""),"$20M")</f>
        <v>$20M</v>
      </c>
      <c r="I11" s="33">
        <f>IFERROR(__xludf.DUMMYFUNCTION("""COMPUTED_VALUE"""),2.0E7)</f>
        <v>20000000</v>
      </c>
      <c r="K11" s="31" t="str">
        <f>IFERROR(__xludf.DUMMYFUNCTION("""COMPUTED_VALUE"""),"Series A")</f>
        <v>Series A</v>
      </c>
      <c r="L11" s="34" t="str">
        <f>IFERROR(__xludf.DUMMYFUNCTION("""COMPUTED_VALUE"""),"http://haje.pub/pdt-dutch")</f>
        <v>http://haje.pub/pdt-dutch</v>
      </c>
      <c r="M11" s="34" t="str">
        <f>IFERROR(__xludf.DUMMYFUNCTION("""COMPUTED_VALUE"""),"PDT Published May 12, 2022")</f>
        <v>PDT Published May 12, 2022</v>
      </c>
      <c r="N11" s="31" t="str">
        <f>IFERROR(__xludf.DUMMYFUNCTION("""COMPUTED_VALUE"""),"B2C")</f>
        <v>B2C</v>
      </c>
      <c r="O11" s="31" t="str">
        <f>IFERROR(__xludf.DUMMYFUNCTION("""COMPUTED_VALUE"""),"Pets")</f>
        <v>Pets</v>
      </c>
    </row>
    <row r="12">
      <c r="A12" s="28" t="str">
        <f t="shared" si="1"/>
        <v>BoxedUp</v>
      </c>
      <c r="B12" s="29" t="str">
        <f t="shared" si="2"/>
        <v>$2.3m</v>
      </c>
      <c r="C12" s="29" t="str">
        <f t="shared" si="3"/>
        <v>Seed</v>
      </c>
      <c r="D12" s="28" t="str">
        <f t="shared" si="4"/>
        <v>Teardown of BoxedUp's $2.3m Seed deck</v>
      </c>
      <c r="E12" s="30" t="str">
        <f t="shared" si="5"/>
        <v>May 19, 2022</v>
      </c>
      <c r="F12" s="31" t="str">
        <f>IFERROR(__xludf.DUMMYFUNCTION("""COMPUTED_VALUE"""),"BoxedUp")</f>
        <v>BoxedUp</v>
      </c>
      <c r="G12" s="32" t="str">
        <f>IFERROR(__xludf.DUMMYFUNCTION("""COMPUTED_VALUE"""),"https://tryboxedup.com/")</f>
        <v>https://tryboxedup.com/</v>
      </c>
      <c r="H12" s="31" t="str">
        <f>IFERROR(__xludf.DUMMYFUNCTION("""COMPUTED_VALUE"""),"$2.3M")</f>
        <v>$2.3M</v>
      </c>
      <c r="I12" s="33">
        <f>IFERROR(__xludf.DUMMYFUNCTION("""COMPUTED_VALUE"""),2300000.0)</f>
        <v>2300000</v>
      </c>
      <c r="K12" s="31" t="str">
        <f>IFERROR(__xludf.DUMMYFUNCTION("""COMPUTED_VALUE"""),"Seed")</f>
        <v>Seed</v>
      </c>
      <c r="L12" s="34" t="str">
        <f>IFERROR(__xludf.DUMMYFUNCTION("""COMPUTED_VALUE"""),"https://haje.pub/pdt-boxedup")</f>
        <v>https://haje.pub/pdt-boxedup</v>
      </c>
      <c r="M12" s="34" t="str">
        <f>IFERROR(__xludf.DUMMYFUNCTION("""COMPUTED_VALUE"""),"PDT Published May 19, 2022")</f>
        <v>PDT Published May 19, 2022</v>
      </c>
      <c r="N12" s="31" t="str">
        <f>IFERROR(__xludf.DUMMYFUNCTION("""COMPUTED_VALUE"""),"B2B")</f>
        <v>B2B</v>
      </c>
      <c r="O12" s="31" t="str">
        <f>IFERROR(__xludf.DUMMYFUNCTION("""COMPUTED_VALUE"""),"Equipment Rental")</f>
        <v>Equipment Rental</v>
      </c>
    </row>
    <row r="13">
      <c r="A13" s="28" t="str">
        <f t="shared" si="1"/>
        <v>Lumigo</v>
      </c>
      <c r="B13" s="29" t="str">
        <f t="shared" si="2"/>
        <v>$29m</v>
      </c>
      <c r="C13" s="29" t="str">
        <f t="shared" si="3"/>
        <v>Series A</v>
      </c>
      <c r="D13" s="28" t="str">
        <f t="shared" si="4"/>
        <v>Teardown of Lumigo's $29m Series A deck</v>
      </c>
      <c r="E13" s="30" t="str">
        <f t="shared" si="5"/>
        <v>May 26, 2022</v>
      </c>
      <c r="F13" s="31" t="str">
        <f>IFERROR(__xludf.DUMMYFUNCTION("""COMPUTED_VALUE"""),"Lumigo")</f>
        <v>Lumigo</v>
      </c>
      <c r="G13" s="32" t="str">
        <f>IFERROR(__xludf.DUMMYFUNCTION("""COMPUTED_VALUE"""),"https://lumigo.io/")</f>
        <v>https://lumigo.io/</v>
      </c>
      <c r="H13" s="31" t="str">
        <f>IFERROR(__xludf.DUMMYFUNCTION("""COMPUTED_VALUE"""),"$29M")</f>
        <v>$29M</v>
      </c>
      <c r="I13" s="33">
        <f>IFERROR(__xludf.DUMMYFUNCTION("""COMPUTED_VALUE"""),2.9E7)</f>
        <v>29000000</v>
      </c>
      <c r="K13" s="31" t="str">
        <f>IFERROR(__xludf.DUMMYFUNCTION("""COMPUTED_VALUE"""),"Series A")</f>
        <v>Series A</v>
      </c>
      <c r="L13" s="34" t="str">
        <f>IFERROR(__xludf.DUMMYFUNCTION("""COMPUTED_VALUE"""),"https://haje.pub/pdt-lumigo")</f>
        <v>https://haje.pub/pdt-lumigo</v>
      </c>
      <c r="M13" s="34" t="str">
        <f>IFERROR(__xludf.DUMMYFUNCTION("""COMPUTED_VALUE"""),"PDT Published May 26, 2022")</f>
        <v>PDT Published May 26, 2022</v>
      </c>
      <c r="N13" s="31" t="str">
        <f>IFERROR(__xludf.DUMMYFUNCTION("""COMPUTED_VALUE"""),"B2B")</f>
        <v>B2B</v>
      </c>
      <c r="O13" s="31" t="str">
        <f>IFERROR(__xludf.DUMMYFUNCTION("""COMPUTED_VALUE"""),"DevOps")</f>
        <v>DevOps</v>
      </c>
    </row>
    <row r="14">
      <c r="A14" s="28" t="str">
        <f t="shared" si="1"/>
        <v>Encore</v>
      </c>
      <c r="B14" s="29" t="str">
        <f t="shared" si="2"/>
        <v>$3m</v>
      </c>
      <c r="C14" s="29" t="str">
        <f t="shared" si="3"/>
        <v>Seed</v>
      </c>
      <c r="D14" s="28" t="str">
        <f t="shared" si="4"/>
        <v>Teardown of Encore's $3m Seed deck</v>
      </c>
      <c r="E14" s="30" t="str">
        <f t="shared" si="5"/>
        <v>June 2, 2022</v>
      </c>
      <c r="F14" s="31" t="str">
        <f>IFERROR(__xludf.DUMMYFUNCTION("""COMPUTED_VALUE"""),"Encore")</f>
        <v>Encore</v>
      </c>
      <c r="G14" s="32" t="str">
        <f>IFERROR(__xludf.DUMMYFUNCTION("""COMPUTED_VALUE"""),"https://encore.dev")</f>
        <v>https://encore.dev</v>
      </c>
      <c r="H14" s="31" t="str">
        <f>IFERROR(__xludf.DUMMYFUNCTION("""COMPUTED_VALUE"""),"$3M")</f>
        <v>$3M</v>
      </c>
      <c r="I14" s="33">
        <f>IFERROR(__xludf.DUMMYFUNCTION("""COMPUTED_VALUE"""),3000000.0)</f>
        <v>3000000</v>
      </c>
      <c r="K14" s="31" t="str">
        <f>IFERROR(__xludf.DUMMYFUNCTION("""COMPUTED_VALUE"""),"Seed")</f>
        <v>Seed</v>
      </c>
      <c r="L14" s="34" t="str">
        <f>IFERROR(__xludf.DUMMYFUNCTION("""COMPUTED_VALUE"""),"https://haje.pub/pdt-encore")</f>
        <v>https://haje.pub/pdt-encore</v>
      </c>
      <c r="M14" s="34" t="str">
        <f>IFERROR(__xludf.DUMMYFUNCTION("""COMPUTED_VALUE"""),"PDT Published June 2, 2022")</f>
        <v>PDT Published June 2, 2022</v>
      </c>
      <c r="N14" s="31" t="str">
        <f>IFERROR(__xludf.DUMMYFUNCTION("""COMPUTED_VALUE"""),"B2B")</f>
        <v>B2B</v>
      </c>
      <c r="O14" s="31" t="str">
        <f>IFERROR(__xludf.DUMMYFUNCTION("""COMPUTED_VALUE"""),"Dev Tools")</f>
        <v>Dev Tools</v>
      </c>
    </row>
    <row r="15">
      <c r="A15" s="28" t="str">
        <f t="shared" si="1"/>
        <v>Lunchbox</v>
      </c>
      <c r="B15" s="29" t="str">
        <f t="shared" si="2"/>
        <v>$50m</v>
      </c>
      <c r="C15" s="29" t="str">
        <f t="shared" si="3"/>
        <v>Series B</v>
      </c>
      <c r="D15" s="28" t="str">
        <f t="shared" si="4"/>
        <v>Teardown of Lunchbox's $50m Series B deck</v>
      </c>
      <c r="E15" s="30" t="str">
        <f t="shared" si="5"/>
        <v>June 9, 2022</v>
      </c>
      <c r="F15" s="31" t="str">
        <f>IFERROR(__xludf.DUMMYFUNCTION("""COMPUTED_VALUE"""),"Lunchbox")</f>
        <v>Lunchbox</v>
      </c>
      <c r="G15" s="32" t="str">
        <f>IFERROR(__xludf.DUMMYFUNCTION("""COMPUTED_VALUE"""),"https://lunchbox.io/")</f>
        <v>https://lunchbox.io/</v>
      </c>
      <c r="H15" s="31" t="str">
        <f>IFERROR(__xludf.DUMMYFUNCTION("""COMPUTED_VALUE"""),"$50M")</f>
        <v>$50M</v>
      </c>
      <c r="I15" s="33">
        <f>IFERROR(__xludf.DUMMYFUNCTION("""COMPUTED_VALUE"""),5.0E7)</f>
        <v>50000000</v>
      </c>
      <c r="K15" s="31" t="str">
        <f>IFERROR(__xludf.DUMMYFUNCTION("""COMPUTED_VALUE"""),"Series B")</f>
        <v>Series B</v>
      </c>
      <c r="L15" s="34" t="str">
        <f>IFERROR(__xludf.DUMMYFUNCTION("""COMPUTED_VALUE"""),"https://haje.pub/pdt-lunchbox")</f>
        <v>https://haje.pub/pdt-lunchbox</v>
      </c>
      <c r="M15" s="34" t="str">
        <f>IFERROR(__xludf.DUMMYFUNCTION("""COMPUTED_VALUE"""),"PDT Published June 9, 2022")</f>
        <v>PDT Published June 9, 2022</v>
      </c>
      <c r="N15" s="31" t="str">
        <f>IFERROR(__xludf.DUMMYFUNCTION("""COMPUTED_VALUE"""),"B2B")</f>
        <v>B2B</v>
      </c>
      <c r="O15" s="31" t="str">
        <f>IFERROR(__xludf.DUMMYFUNCTION("""COMPUTED_VALUE"""),"Foodtech")</f>
        <v>Foodtech</v>
      </c>
    </row>
    <row r="16">
      <c r="A16" s="28" t="str">
        <f t="shared" si="1"/>
        <v>Ergeon</v>
      </c>
      <c r="B16" s="29" t="str">
        <f t="shared" si="2"/>
        <v>$40m</v>
      </c>
      <c r="C16" s="29" t="str">
        <f t="shared" si="3"/>
        <v>Series B</v>
      </c>
      <c r="D16" s="28" t="str">
        <f t="shared" si="4"/>
        <v>Teardown of Ergeon's $40m Series B deck</v>
      </c>
      <c r="E16" s="30" t="str">
        <f t="shared" si="5"/>
        <v>Jun 16, 2022</v>
      </c>
      <c r="F16" s="31" t="str">
        <f>IFERROR(__xludf.DUMMYFUNCTION("""COMPUTED_VALUE"""),"Ergeon")</f>
        <v>Ergeon</v>
      </c>
      <c r="G16" s="32" t="str">
        <f>IFERROR(__xludf.DUMMYFUNCTION("""COMPUTED_VALUE"""),"www.ergeon.com")</f>
        <v>www.ergeon.com</v>
      </c>
      <c r="H16" s="31" t="str">
        <f>IFERROR(__xludf.DUMMYFUNCTION("""COMPUTED_VALUE"""),"$40M")</f>
        <v>$40M</v>
      </c>
      <c r="I16" s="33">
        <f>IFERROR(__xludf.DUMMYFUNCTION("""COMPUTED_VALUE"""),4.0E7)</f>
        <v>40000000</v>
      </c>
      <c r="K16" s="31" t="str">
        <f>IFERROR(__xludf.DUMMYFUNCTION("""COMPUTED_VALUE"""),"Series B")</f>
        <v>Series B</v>
      </c>
      <c r="L16" s="34" t="str">
        <f>IFERROR(__xludf.DUMMYFUNCTION("""COMPUTED_VALUE"""),"https://haje.pub/pdt-ergeon")</f>
        <v>https://haje.pub/pdt-ergeon</v>
      </c>
      <c r="M16" s="34" t="str">
        <f>IFERROR(__xludf.DUMMYFUNCTION("""COMPUTED_VALUE"""),"PDT Published Jun 16, 2022")</f>
        <v>PDT Published Jun 16, 2022</v>
      </c>
      <c r="N16" s="31" t="str">
        <f>IFERROR(__xludf.DUMMYFUNCTION("""COMPUTED_VALUE"""),"B2C")</f>
        <v>B2C</v>
      </c>
      <c r="O16" s="31" t="str">
        <f>IFERROR(__xludf.DUMMYFUNCTION("""COMPUTED_VALUE"""),"Construction")</f>
        <v>Construction</v>
      </c>
    </row>
    <row r="17">
      <c r="A17" s="28" t="str">
        <f t="shared" si="1"/>
        <v>WayRay</v>
      </c>
      <c r="B17" s="29" t="str">
        <f t="shared" si="2"/>
        <v>$80m</v>
      </c>
      <c r="C17" s="29" t="str">
        <f t="shared" si="3"/>
        <v>Series E</v>
      </c>
      <c r="D17" s="28" t="str">
        <f t="shared" si="4"/>
        <v>Teardown of WayRay's $80m Series E deck</v>
      </c>
      <c r="E17" s="30" t="str">
        <f t="shared" si="5"/>
        <v>Jun 23, 2022</v>
      </c>
      <c r="F17" s="31" t="str">
        <f>IFERROR(__xludf.DUMMYFUNCTION("""COMPUTED_VALUE"""),"WayRay")</f>
        <v>WayRay</v>
      </c>
      <c r="G17" s="32" t="str">
        <f>IFERROR(__xludf.DUMMYFUNCTION("""COMPUTED_VALUE"""),"https://wayray.com/press-area/#press")</f>
        <v>https://wayray.com/press-area/#press</v>
      </c>
      <c r="H17" s="31" t="str">
        <f>IFERROR(__xludf.DUMMYFUNCTION("""COMPUTED_VALUE"""),"$80M")</f>
        <v>$80M</v>
      </c>
      <c r="I17" s="33">
        <f>IFERROR(__xludf.DUMMYFUNCTION("""COMPUTED_VALUE"""),8.0E7)</f>
        <v>80000000</v>
      </c>
      <c r="K17" s="31" t="str">
        <f>IFERROR(__xludf.DUMMYFUNCTION("""COMPUTED_VALUE"""),"Series E")</f>
        <v>Series E</v>
      </c>
      <c r="L17" s="34" t="str">
        <f>IFERROR(__xludf.DUMMYFUNCTION("""COMPUTED_VALUE"""),"http://haje.pub/pdt-wayray")</f>
        <v>http://haje.pub/pdt-wayray</v>
      </c>
      <c r="M17" s="34" t="str">
        <f>IFERROR(__xludf.DUMMYFUNCTION("""COMPUTED_VALUE"""),"PDT Published Jun 23, 2022")</f>
        <v>PDT Published Jun 23, 2022</v>
      </c>
      <c r="N17" s="31" t="str">
        <f>IFERROR(__xludf.DUMMYFUNCTION("""COMPUTED_VALUE"""),"B2B")</f>
        <v>B2B</v>
      </c>
      <c r="O17" s="31" t="str">
        <f>IFERROR(__xludf.DUMMYFUNCTION("""COMPUTED_VALUE"""),"Transportation")</f>
        <v>Transportation</v>
      </c>
    </row>
    <row r="18">
      <c r="A18" s="28" t="str">
        <f t="shared" si="1"/>
        <v>Wilco</v>
      </c>
      <c r="B18" s="29" t="str">
        <f t="shared" si="2"/>
        <v>$7m</v>
      </c>
      <c r="C18" s="29" t="str">
        <f t="shared" si="3"/>
        <v>Seed</v>
      </c>
      <c r="D18" s="28" t="str">
        <f t="shared" si="4"/>
        <v>Teardown of Wilco's $7m Seed deck</v>
      </c>
      <c r="E18" s="30" t="str">
        <f t="shared" si="5"/>
        <v>Jun 30, 2022</v>
      </c>
      <c r="F18" s="31" t="str">
        <f>IFERROR(__xludf.DUMMYFUNCTION("""COMPUTED_VALUE"""),"Wilco")</f>
        <v>Wilco</v>
      </c>
      <c r="G18" s="32" t="str">
        <f>IFERROR(__xludf.DUMMYFUNCTION("""COMPUTED_VALUE"""),"https://www.trywilco.com/")</f>
        <v>https://www.trywilco.com/</v>
      </c>
      <c r="H18" s="31" t="str">
        <f>IFERROR(__xludf.DUMMYFUNCTION("""COMPUTED_VALUE"""),"$7M")</f>
        <v>$7M</v>
      </c>
      <c r="I18" s="33">
        <f>IFERROR(__xludf.DUMMYFUNCTION("""COMPUTED_VALUE"""),7000000.0)</f>
        <v>7000000</v>
      </c>
      <c r="K18" s="31" t="str">
        <f>IFERROR(__xludf.DUMMYFUNCTION("""COMPUTED_VALUE"""),"Seed")</f>
        <v>Seed</v>
      </c>
      <c r="L18" s="34" t="str">
        <f>IFERROR(__xludf.DUMMYFUNCTION("""COMPUTED_VALUE"""),"http://haje.pub/pdt-wilco")</f>
        <v>http://haje.pub/pdt-wilco</v>
      </c>
      <c r="M18" s="34" t="str">
        <f>IFERROR(__xludf.DUMMYFUNCTION("""COMPUTED_VALUE"""),"PDT Published Jun 30, 2022")</f>
        <v>PDT Published Jun 30, 2022</v>
      </c>
      <c r="N18" s="31" t="str">
        <f>IFERROR(__xludf.DUMMYFUNCTION("""COMPUTED_VALUE"""),"B2B")</f>
        <v>B2B</v>
      </c>
      <c r="O18" s="31" t="str">
        <f>IFERROR(__xludf.DUMMYFUNCTION("""COMPUTED_VALUE"""),"EdTech")</f>
        <v>EdTech</v>
      </c>
    </row>
    <row r="19">
      <c r="A19" s="28" t="str">
        <f t="shared" si="1"/>
        <v>Enduring Planet</v>
      </c>
      <c r="B19" s="29" t="str">
        <f t="shared" si="2"/>
        <v>$2m</v>
      </c>
      <c r="C19" s="29" t="str">
        <f t="shared" si="3"/>
        <v>Seed</v>
      </c>
      <c r="D19" s="28" t="str">
        <f t="shared" si="4"/>
        <v>Teardown of Enduring Planet's $2m Seed deck</v>
      </c>
      <c r="E19" s="30" t="str">
        <f t="shared" si="5"/>
        <v>Jul 7, 2022</v>
      </c>
      <c r="F19" s="31" t="str">
        <f>IFERROR(__xludf.DUMMYFUNCTION("""COMPUTED_VALUE"""),"Enduring Planet")</f>
        <v>Enduring Planet</v>
      </c>
      <c r="G19" s="32" t="str">
        <f>IFERROR(__xludf.DUMMYFUNCTION("""COMPUTED_VALUE"""),"enduringplanet.com")</f>
        <v>enduringplanet.com</v>
      </c>
      <c r="H19" s="31" t="str">
        <f>IFERROR(__xludf.DUMMYFUNCTION("""COMPUTED_VALUE"""),"$2M")</f>
        <v>$2M</v>
      </c>
      <c r="I19" s="33">
        <f>IFERROR(__xludf.DUMMYFUNCTION("""COMPUTED_VALUE"""),2000000.0)</f>
        <v>2000000</v>
      </c>
      <c r="K19" s="31" t="str">
        <f>IFERROR(__xludf.DUMMYFUNCTION("""COMPUTED_VALUE"""),"Seed")</f>
        <v>Seed</v>
      </c>
      <c r="L19" s="34" t="str">
        <f>IFERROR(__xludf.DUMMYFUNCTION("""COMPUTED_VALUE"""),"http://haje.pub/pdt-enduring-planet")</f>
        <v>http://haje.pub/pdt-enduring-planet</v>
      </c>
      <c r="M19" s="34" t="str">
        <f>IFERROR(__xludf.DUMMYFUNCTION("""COMPUTED_VALUE"""),"PDT Published Jul 7, 2022")</f>
        <v>PDT Published Jul 7, 2022</v>
      </c>
      <c r="N19" s="31" t="str">
        <f>IFERROR(__xludf.DUMMYFUNCTION("""COMPUTED_VALUE"""),"B2B2C")</f>
        <v>B2B2C</v>
      </c>
      <c r="O19" s="31" t="str">
        <f>IFERROR(__xludf.DUMMYFUNCTION("""COMPUTED_VALUE"""),"FinTech")</f>
        <v>FinTech</v>
      </c>
    </row>
    <row r="20">
      <c r="A20" s="28" t="str">
        <f t="shared" si="1"/>
        <v>Forethought</v>
      </c>
      <c r="B20" s="29" t="str">
        <f t="shared" si="2"/>
        <v>$65m</v>
      </c>
      <c r="C20" s="29" t="str">
        <f t="shared" si="3"/>
        <v>Series C</v>
      </c>
      <c r="D20" s="28" t="str">
        <f t="shared" si="4"/>
        <v>Teardown of Forethought's $65m Series C deck</v>
      </c>
      <c r="E20" s="30" t="str">
        <f t="shared" si="5"/>
        <v>Jul 14, 2022</v>
      </c>
      <c r="F20" s="31" t="str">
        <f>IFERROR(__xludf.DUMMYFUNCTION("""COMPUTED_VALUE"""),"Forethought")</f>
        <v>Forethought</v>
      </c>
      <c r="G20" s="32" t="str">
        <f>IFERROR(__xludf.DUMMYFUNCTION("""COMPUTED_VALUE"""),"https://forethought.ai/")</f>
        <v>https://forethought.ai/</v>
      </c>
      <c r="H20" s="31" t="str">
        <f>IFERROR(__xludf.DUMMYFUNCTION("""COMPUTED_VALUE"""),"$65M")</f>
        <v>$65M</v>
      </c>
      <c r="I20" s="33">
        <f>IFERROR(__xludf.DUMMYFUNCTION("""COMPUTED_VALUE"""),6.5E7)</f>
        <v>65000000</v>
      </c>
      <c r="K20" s="31" t="str">
        <f>IFERROR(__xludf.DUMMYFUNCTION("""COMPUTED_VALUE"""),"Series C")</f>
        <v>Series C</v>
      </c>
      <c r="L20" s="34" t="str">
        <f>IFERROR(__xludf.DUMMYFUNCTION("""COMPUTED_VALUE"""),"http://haje.pub/pdt-forethought")</f>
        <v>http://haje.pub/pdt-forethought</v>
      </c>
      <c r="M20" s="34" t="str">
        <f>IFERROR(__xludf.DUMMYFUNCTION("""COMPUTED_VALUE"""),"PDT Published Jul 14, 2022")</f>
        <v>PDT Published Jul 14, 2022</v>
      </c>
      <c r="N20" s="31" t="str">
        <f>IFERROR(__xludf.DUMMYFUNCTION("""COMPUTED_VALUE"""),"B2B")</f>
        <v>B2B</v>
      </c>
      <c r="O20" s="31" t="str">
        <f>IFERROR(__xludf.DUMMYFUNCTION("""COMPUTED_VALUE"""),"AI")</f>
        <v>AI</v>
      </c>
    </row>
    <row r="21">
      <c r="A21" s="28" t="str">
        <f t="shared" si="1"/>
        <v>Arkive</v>
      </c>
      <c r="B21" s="29" t="str">
        <f t="shared" si="2"/>
        <v>$9.7m</v>
      </c>
      <c r="C21" s="29" t="str">
        <f t="shared" si="3"/>
        <v>Seed</v>
      </c>
      <c r="D21" s="28" t="str">
        <f t="shared" si="4"/>
        <v>Teardown of Arkive's $9.7m Seed deck</v>
      </c>
      <c r="E21" s="30" t="str">
        <f t="shared" si="5"/>
        <v>July 21, 2022</v>
      </c>
      <c r="F21" s="31" t="str">
        <f>IFERROR(__xludf.DUMMYFUNCTION("""COMPUTED_VALUE"""),"Arkive")</f>
        <v>Arkive</v>
      </c>
      <c r="G21" s="32" t="str">
        <f>IFERROR(__xludf.DUMMYFUNCTION("""COMPUTED_VALUE"""),"https://arkive.net/")</f>
        <v>https://arkive.net/</v>
      </c>
      <c r="H21" s="31" t="str">
        <f>IFERROR(__xludf.DUMMYFUNCTION("""COMPUTED_VALUE"""),"$9.7M")</f>
        <v>$9.7M</v>
      </c>
      <c r="I21" s="33">
        <f>IFERROR(__xludf.DUMMYFUNCTION("""COMPUTED_VALUE"""),9700000.0)</f>
        <v>9700000</v>
      </c>
      <c r="K21" s="31" t="str">
        <f>IFERROR(__xludf.DUMMYFUNCTION("""COMPUTED_VALUE"""),"Seed")</f>
        <v>Seed</v>
      </c>
      <c r="L21" s="34" t="str">
        <f>IFERROR(__xludf.DUMMYFUNCTION("""COMPUTED_VALUE"""),"http://haje.pub/pdt-arkive")</f>
        <v>http://haje.pub/pdt-arkive</v>
      </c>
      <c r="M21" s="34" t="str">
        <f>IFERROR(__xludf.DUMMYFUNCTION("""COMPUTED_VALUE"""),"PDT Published July 21, 2022")</f>
        <v>PDT Published July 21, 2022</v>
      </c>
      <c r="N21" s="31" t="str">
        <f>IFERROR(__xludf.DUMMYFUNCTION("""COMPUTED_VALUE"""),"B2C")</f>
        <v>B2C</v>
      </c>
      <c r="O21" s="31" t="str">
        <f>IFERROR(__xludf.DUMMYFUNCTION("""COMPUTED_VALUE"""),"Blockchain")</f>
        <v>Blockchain</v>
      </c>
    </row>
    <row r="22">
      <c r="A22" s="28" t="str">
        <f t="shared" si="1"/>
        <v>Alto Pharmacy</v>
      </c>
      <c r="B22" s="29" t="str">
        <f t="shared" si="2"/>
        <v>$200m</v>
      </c>
      <c r="C22" s="29" t="str">
        <f t="shared" si="3"/>
        <v>Series E</v>
      </c>
      <c r="D22" s="28" t="str">
        <f t="shared" si="4"/>
        <v>Teardown of Alto Pharmacy's $200m Series E deck</v>
      </c>
      <c r="E22" s="30" t="str">
        <f t="shared" si="5"/>
        <v>July 28, 2022</v>
      </c>
      <c r="F22" s="31" t="str">
        <f>IFERROR(__xludf.DUMMYFUNCTION("""COMPUTED_VALUE"""),"Alto Pharmacy")</f>
        <v>Alto Pharmacy</v>
      </c>
      <c r="G22" s="32" t="str">
        <f>IFERROR(__xludf.DUMMYFUNCTION("""COMPUTED_VALUE"""),"https://alto.com/")</f>
        <v>https://alto.com/</v>
      </c>
      <c r="H22" s="31" t="str">
        <f>IFERROR(__xludf.DUMMYFUNCTION("""COMPUTED_VALUE"""),"$200M")</f>
        <v>$200M</v>
      </c>
      <c r="I22" s="33">
        <f>IFERROR(__xludf.DUMMYFUNCTION("""COMPUTED_VALUE"""),2.0E8)</f>
        <v>200000000</v>
      </c>
      <c r="K22" s="31" t="str">
        <f>IFERROR(__xludf.DUMMYFUNCTION("""COMPUTED_VALUE"""),"Series E")</f>
        <v>Series E</v>
      </c>
      <c r="L22" s="34" t="str">
        <f>IFERROR(__xludf.DUMMYFUNCTION("""COMPUTED_VALUE"""),"http://haje.pub/pdt-alto-pharmacy")</f>
        <v>http://haje.pub/pdt-alto-pharmacy</v>
      </c>
      <c r="M22" s="34" t="str">
        <f>IFERROR(__xludf.DUMMYFUNCTION("""COMPUTED_VALUE"""),"PDT Published July 28, 2022")</f>
        <v>PDT Published July 28, 2022</v>
      </c>
      <c r="N22" s="31" t="str">
        <f>IFERROR(__xludf.DUMMYFUNCTION("""COMPUTED_VALUE"""),"B2B2C")</f>
        <v>B2B2C</v>
      </c>
      <c r="O22" s="31" t="str">
        <f>IFERROR(__xludf.DUMMYFUNCTION("""COMPUTED_VALUE"""),"Health")</f>
        <v>Health</v>
      </c>
    </row>
    <row r="23">
      <c r="A23" s="28" t="str">
        <f t="shared" si="1"/>
        <v>Glambook</v>
      </c>
      <c r="B23" s="29" t="str">
        <f t="shared" si="2"/>
        <v>$2.5m</v>
      </c>
      <c r="C23" s="29" t="str">
        <f t="shared" si="3"/>
        <v>Seed</v>
      </c>
      <c r="D23" s="28" t="str">
        <f t="shared" si="4"/>
        <v>Teardown of Glambook's $2.5m Seed deck</v>
      </c>
      <c r="E23" s="30" t="str">
        <f t="shared" si="5"/>
        <v>Aug 4, 2022</v>
      </c>
      <c r="F23" s="31" t="str">
        <f>IFERROR(__xludf.DUMMYFUNCTION("""COMPUTED_VALUE"""),"Glambook")</f>
        <v>Glambook</v>
      </c>
      <c r="G23" s="32" t="str">
        <f>IFERROR(__xludf.DUMMYFUNCTION("""COMPUTED_VALUE"""),"https://www.glambook.co.uk/")</f>
        <v>https://www.glambook.co.uk/</v>
      </c>
      <c r="H23" s="31" t="str">
        <f>IFERROR(__xludf.DUMMYFUNCTION("""COMPUTED_VALUE"""),"$2.5M")</f>
        <v>$2.5M</v>
      </c>
      <c r="I23" s="33">
        <f>IFERROR(__xludf.DUMMYFUNCTION("""COMPUTED_VALUE"""),2500000.0)</f>
        <v>2500000</v>
      </c>
      <c r="K23" s="31" t="str">
        <f>IFERROR(__xludf.DUMMYFUNCTION("""COMPUTED_VALUE"""),"Seed")</f>
        <v>Seed</v>
      </c>
      <c r="L23" s="34" t="str">
        <f>IFERROR(__xludf.DUMMYFUNCTION("""COMPUTED_VALUE"""),"http://haje.pub/pdt-glambook")</f>
        <v>http://haje.pub/pdt-glambook</v>
      </c>
      <c r="M23" s="34" t="str">
        <f>IFERROR(__xludf.DUMMYFUNCTION("""COMPUTED_VALUE"""),"PDT Published Aug 4, 2022")</f>
        <v>PDT Published Aug 4, 2022</v>
      </c>
      <c r="N23" s="31" t="str">
        <f>IFERROR(__xludf.DUMMYFUNCTION("""COMPUTED_VALUE"""),"B2B2C")</f>
        <v>B2B2C</v>
      </c>
      <c r="O23" s="31" t="str">
        <f>IFERROR(__xludf.DUMMYFUNCTION("""COMPUTED_VALUE"""),"Beauty")</f>
        <v>Beauty</v>
      </c>
    </row>
    <row r="24">
      <c r="A24" s="28" t="str">
        <f t="shared" si="1"/>
        <v>Five Flute</v>
      </c>
      <c r="B24" s="29" t="str">
        <f t="shared" si="2"/>
        <v>$1.2m</v>
      </c>
      <c r="C24" s="29" t="str">
        <f t="shared" si="3"/>
        <v>Pre-seed</v>
      </c>
      <c r="D24" s="28" t="str">
        <f t="shared" si="4"/>
        <v>Teardown of Five Flute's $1.2m Pre-seed deck</v>
      </c>
      <c r="E24" s="30" t="str">
        <f t="shared" si="5"/>
        <v>Aug 11, 2022</v>
      </c>
      <c r="F24" s="31" t="str">
        <f>IFERROR(__xludf.DUMMYFUNCTION("""COMPUTED_VALUE"""),"Five Flute")</f>
        <v>Five Flute</v>
      </c>
      <c r="G24" s="32" t="str">
        <f>IFERROR(__xludf.DUMMYFUNCTION("""COMPUTED_VALUE"""),"https://www.fiveflute.com/")</f>
        <v>https://www.fiveflute.com/</v>
      </c>
      <c r="H24" s="31" t="str">
        <f>IFERROR(__xludf.DUMMYFUNCTION("""COMPUTED_VALUE"""),"$1.2M")</f>
        <v>$1.2M</v>
      </c>
      <c r="I24" s="33">
        <f>IFERROR(__xludf.DUMMYFUNCTION("""COMPUTED_VALUE"""),1200000.0)</f>
        <v>1200000</v>
      </c>
      <c r="K24" s="31" t="str">
        <f>IFERROR(__xludf.DUMMYFUNCTION("""COMPUTED_VALUE"""),"Pre-seed")</f>
        <v>Pre-seed</v>
      </c>
      <c r="L24" s="34" t="str">
        <f>IFERROR(__xludf.DUMMYFUNCTION("""COMPUTED_VALUE"""),"http://haje.pub/pdt-five-flute")</f>
        <v>http://haje.pub/pdt-five-flute</v>
      </c>
      <c r="M24" s="34" t="str">
        <f>IFERROR(__xludf.DUMMYFUNCTION("""COMPUTED_VALUE"""),"PDT Published Aug 11, 2022")</f>
        <v>PDT Published Aug 11, 2022</v>
      </c>
      <c r="N24" s="31" t="str">
        <f>IFERROR(__xludf.DUMMYFUNCTION("""COMPUTED_VALUE"""),"B2B")</f>
        <v>B2B</v>
      </c>
      <c r="O24" s="31" t="str">
        <f>IFERROR(__xludf.DUMMYFUNCTION("""COMPUTED_VALUE"""),"Manufacturing")</f>
        <v>Manufacturing</v>
      </c>
    </row>
    <row r="25">
      <c r="A25" s="28" t="str">
        <f t="shared" si="1"/>
        <v>Mi Terro</v>
      </c>
      <c r="B25" s="29" t="str">
        <f t="shared" si="2"/>
        <v>$1.5m</v>
      </c>
      <c r="C25" s="29" t="str">
        <f t="shared" si="3"/>
        <v>Seed</v>
      </c>
      <c r="D25" s="28" t="str">
        <f t="shared" si="4"/>
        <v>Teardown of Mi Terro's $1.5m Seed deck</v>
      </c>
      <c r="E25" s="30" t="str">
        <f t="shared" si="5"/>
        <v>Aug 11, 2022</v>
      </c>
      <c r="F25" s="31" t="str">
        <f>IFERROR(__xludf.DUMMYFUNCTION("""COMPUTED_VALUE"""),"Mi Terro")</f>
        <v>Mi Terro</v>
      </c>
      <c r="G25" s="32" t="str">
        <f>IFERROR(__xludf.DUMMYFUNCTION("""COMPUTED_VALUE"""),"https://www.miterro.com/")</f>
        <v>https://www.miterro.com/</v>
      </c>
      <c r="H25" s="31" t="str">
        <f>IFERROR(__xludf.DUMMYFUNCTION("""COMPUTED_VALUE"""),"$1.5M")</f>
        <v>$1.5M</v>
      </c>
      <c r="I25" s="33">
        <f>IFERROR(__xludf.DUMMYFUNCTION("""COMPUTED_VALUE"""),1500000.0)</f>
        <v>1500000</v>
      </c>
      <c r="K25" s="31" t="str">
        <f>IFERROR(__xludf.DUMMYFUNCTION("""COMPUTED_VALUE"""),"Seed")</f>
        <v>Seed</v>
      </c>
      <c r="L25" s="34" t="str">
        <f>IFERROR(__xludf.DUMMYFUNCTION("""COMPUTED_VALUE"""),"http://haje.pub/pdt-mi-terro")</f>
        <v>http://haje.pub/pdt-mi-terro</v>
      </c>
      <c r="M25" s="34" t="str">
        <f>IFERROR(__xludf.DUMMYFUNCTION("""COMPUTED_VALUE"""),"PDT Published Aug 11, 2022")</f>
        <v>PDT Published Aug 11, 2022</v>
      </c>
      <c r="N25" s="31" t="str">
        <f>IFERROR(__xludf.DUMMYFUNCTION("""COMPUTED_VALUE"""),"B2B")</f>
        <v>B2B</v>
      </c>
      <c r="O25" s="31" t="str">
        <f>IFERROR(__xludf.DUMMYFUNCTION("""COMPUTED_VALUE"""),"Material Science")</f>
        <v>Material Science</v>
      </c>
    </row>
    <row r="26">
      <c r="A26" s="28" t="str">
        <f t="shared" si="1"/>
        <v>SIMBA Chain</v>
      </c>
      <c r="B26" s="29" t="str">
        <f t="shared" si="2"/>
        <v>$25m</v>
      </c>
      <c r="C26" s="29" t="str">
        <f t="shared" si="3"/>
        <v>Series A</v>
      </c>
      <c r="D26" s="28" t="str">
        <f t="shared" si="4"/>
        <v>Teardown of SIMBA Chain's $25m Series A deck</v>
      </c>
      <c r="E26" s="30" t="str">
        <f t="shared" si="5"/>
        <v>Aug 25, 2022</v>
      </c>
      <c r="F26" s="31" t="str">
        <f>IFERROR(__xludf.DUMMYFUNCTION("""COMPUTED_VALUE"""),"SIMBA Chain")</f>
        <v>SIMBA Chain</v>
      </c>
      <c r="G26" s="32" t="str">
        <f>IFERROR(__xludf.DUMMYFUNCTION("""COMPUTED_VALUE"""),"simbachain.com")</f>
        <v>simbachain.com</v>
      </c>
      <c r="H26" s="31" t="str">
        <f>IFERROR(__xludf.DUMMYFUNCTION("""COMPUTED_VALUE"""),"$25M")</f>
        <v>$25M</v>
      </c>
      <c r="I26" s="33">
        <f>IFERROR(__xludf.DUMMYFUNCTION("""COMPUTED_VALUE"""),2.5E7)</f>
        <v>25000000</v>
      </c>
      <c r="K26" s="31" t="str">
        <f>IFERROR(__xludf.DUMMYFUNCTION("""COMPUTED_VALUE"""),"Series A")</f>
        <v>Series A</v>
      </c>
      <c r="L26" s="34" t="str">
        <f>IFERROR(__xludf.DUMMYFUNCTION("""COMPUTED_VALUE"""),"http://haje.pub/pdt-simba-chain")</f>
        <v>http://haje.pub/pdt-simba-chain</v>
      </c>
      <c r="M26" s="34" t="str">
        <f>IFERROR(__xludf.DUMMYFUNCTION("""COMPUTED_VALUE"""),"PDT Published Aug 25, 2022")</f>
        <v>PDT Published Aug 25, 2022</v>
      </c>
      <c r="N26" s="31" t="str">
        <f>IFERROR(__xludf.DUMMYFUNCTION("""COMPUTED_VALUE"""),"B2B")</f>
        <v>B2B</v>
      </c>
      <c r="O26" s="31" t="str">
        <f>IFERROR(__xludf.DUMMYFUNCTION("""COMPUTED_VALUE"""),"Blockchain")</f>
        <v>Blockchain</v>
      </c>
    </row>
    <row r="27">
      <c r="A27" s="28" t="str">
        <f t="shared" si="1"/>
        <v>Front</v>
      </c>
      <c r="B27" s="29" t="str">
        <f t="shared" si="2"/>
        <v>$65m</v>
      </c>
      <c r="C27" s="29" t="str">
        <f t="shared" si="3"/>
        <v>Series D</v>
      </c>
      <c r="D27" s="28" t="str">
        <f t="shared" si="4"/>
        <v>Teardown of Front's $65m Series D deck</v>
      </c>
      <c r="E27" s="30" t="str">
        <f t="shared" si="5"/>
        <v>Sep 1, 2022</v>
      </c>
      <c r="F27" s="31" t="str">
        <f>IFERROR(__xludf.DUMMYFUNCTION("""COMPUTED_VALUE"""),"Front")</f>
        <v>Front</v>
      </c>
      <c r="G27" s="32" t="str">
        <f>IFERROR(__xludf.DUMMYFUNCTION("""COMPUTED_VALUE"""),"https://front.com/")</f>
        <v>https://front.com/</v>
      </c>
      <c r="H27" s="31" t="str">
        <f>IFERROR(__xludf.DUMMYFUNCTION("""COMPUTED_VALUE"""),"$65M")</f>
        <v>$65M</v>
      </c>
      <c r="I27" s="33">
        <f>IFERROR(__xludf.DUMMYFUNCTION("""COMPUTED_VALUE"""),6.5E7)</f>
        <v>65000000</v>
      </c>
      <c r="K27" s="31" t="str">
        <f>IFERROR(__xludf.DUMMYFUNCTION("""COMPUTED_VALUE"""),"Series D")</f>
        <v>Series D</v>
      </c>
      <c r="L27" s="34" t="str">
        <f>IFERROR(__xludf.DUMMYFUNCTION("""COMPUTED_VALUE"""),"http://haje.pub/pdt-front")</f>
        <v>http://haje.pub/pdt-front</v>
      </c>
      <c r="M27" s="34" t="str">
        <f>IFERROR(__xludf.DUMMYFUNCTION("""COMPUTED_VALUE"""),"PDT Published Sep 1, 2022")</f>
        <v>PDT Published Sep 1, 2022</v>
      </c>
      <c r="N27" s="31" t="str">
        <f>IFERROR(__xludf.DUMMYFUNCTION("""COMPUTED_VALUE"""),"B2B")</f>
        <v>B2B</v>
      </c>
      <c r="O27" s="31" t="str">
        <f>IFERROR(__xludf.DUMMYFUNCTION("""COMPUTED_VALUE"""),"Customer Service")</f>
        <v>Customer Service</v>
      </c>
    </row>
    <row r="28">
      <c r="A28" s="28" t="str">
        <f t="shared" si="1"/>
        <v>Helu</v>
      </c>
      <c r="B28" s="29" t="str">
        <f t="shared" si="2"/>
        <v>$9.8m</v>
      </c>
      <c r="C28" s="29" t="str">
        <f t="shared" si="3"/>
        <v>Series A</v>
      </c>
      <c r="D28" s="28" t="str">
        <f t="shared" si="4"/>
        <v>Teardown of Helu's $9.8m Series A deck</v>
      </c>
      <c r="E28" s="30" t="str">
        <f t="shared" si="5"/>
        <v>Sep 15, 2022</v>
      </c>
      <c r="F28" s="31" t="str">
        <f>IFERROR(__xludf.DUMMYFUNCTION("""COMPUTED_VALUE"""),"Helu")</f>
        <v>Helu</v>
      </c>
      <c r="G28" s="32" t="str">
        <f>IFERROR(__xludf.DUMMYFUNCTION("""COMPUTED_VALUE"""),"helu.io")</f>
        <v>helu.io</v>
      </c>
      <c r="H28" s="31" t="str">
        <f>IFERROR(__xludf.DUMMYFUNCTION("""COMPUTED_VALUE"""),"$9.8M")</f>
        <v>$9.8M</v>
      </c>
      <c r="I28" s="33">
        <f>IFERROR(__xludf.DUMMYFUNCTION("""COMPUTED_VALUE"""),9800000.0)</f>
        <v>9800000</v>
      </c>
      <c r="K28" s="31" t="str">
        <f>IFERROR(__xludf.DUMMYFUNCTION("""COMPUTED_VALUE"""),"Series A")</f>
        <v>Series A</v>
      </c>
      <c r="L28" s="34" t="str">
        <f>IFERROR(__xludf.DUMMYFUNCTION("""COMPUTED_VALUE"""),"http://haje.pub/pdt-helu")</f>
        <v>http://haje.pub/pdt-helu</v>
      </c>
      <c r="M28" s="34" t="str">
        <f>IFERROR(__xludf.DUMMYFUNCTION("""COMPUTED_VALUE"""),"PDT Published Sep 15, 2022")</f>
        <v>PDT Published Sep 15, 2022</v>
      </c>
      <c r="N28" s="31" t="str">
        <f>IFERROR(__xludf.DUMMYFUNCTION("""COMPUTED_VALUE"""),"B2B")</f>
        <v>B2B</v>
      </c>
      <c r="O28" s="31" t="str">
        <f>IFERROR(__xludf.DUMMYFUNCTION("""COMPUTED_VALUE"""),"FinTech")</f>
        <v>FinTech</v>
      </c>
    </row>
    <row r="29">
      <c r="A29" s="28" t="str">
        <f t="shared" si="1"/>
        <v>Party Round</v>
      </c>
      <c r="B29" s="29" t="str">
        <f t="shared" si="2"/>
        <v>$7m</v>
      </c>
      <c r="C29" s="29" t="str">
        <f t="shared" si="3"/>
        <v>Angel</v>
      </c>
      <c r="D29" s="28" t="str">
        <f t="shared" si="4"/>
        <v>Teardown of Party Round's $7m Angel deck</v>
      </c>
      <c r="E29" s="30" t="str">
        <f t="shared" si="5"/>
        <v>Sep 22, 2022</v>
      </c>
      <c r="F29" s="31" t="str">
        <f>IFERROR(__xludf.DUMMYFUNCTION("""COMPUTED_VALUE"""),"Party Round")</f>
        <v>Party Round</v>
      </c>
      <c r="G29" s="32" t="str">
        <f>IFERROR(__xludf.DUMMYFUNCTION("""COMPUTED_VALUE"""),"https://www.partyround.com/")</f>
        <v>https://www.partyround.com/</v>
      </c>
      <c r="H29" s="31" t="str">
        <f>IFERROR(__xludf.DUMMYFUNCTION("""COMPUTED_VALUE"""),"$7M")</f>
        <v>$7M</v>
      </c>
      <c r="I29" s="33">
        <f>IFERROR(__xludf.DUMMYFUNCTION("""COMPUTED_VALUE"""),7000000.0)</f>
        <v>7000000</v>
      </c>
      <c r="K29" s="31" t="str">
        <f>IFERROR(__xludf.DUMMYFUNCTION("""COMPUTED_VALUE"""),"Angel")</f>
        <v>Angel</v>
      </c>
      <c r="L29" s="34" t="str">
        <f>IFERROR(__xludf.DUMMYFUNCTION("""COMPUTED_VALUE"""),"http://haje.pub/pdt-party-round")</f>
        <v>http://haje.pub/pdt-party-round</v>
      </c>
      <c r="M29" s="34" t="str">
        <f>IFERROR(__xludf.DUMMYFUNCTION("""COMPUTED_VALUE"""),"PDT Published Sep 22, 2022")</f>
        <v>PDT Published Sep 22, 2022</v>
      </c>
      <c r="N29" s="31" t="str">
        <f>IFERROR(__xludf.DUMMYFUNCTION("""COMPUTED_VALUE"""),"B2B")</f>
        <v>B2B</v>
      </c>
      <c r="O29" s="31" t="str">
        <f>IFERROR(__xludf.DUMMYFUNCTION("""COMPUTED_VALUE"""),"FinTech")</f>
        <v>FinTech</v>
      </c>
    </row>
    <row r="30">
      <c r="A30" s="28" t="str">
        <f t="shared" si="1"/>
        <v>Rokoko</v>
      </c>
      <c r="B30" s="29" t="str">
        <f t="shared" si="2"/>
        <v>$3m</v>
      </c>
      <c r="C30" s="29" t="str">
        <f t="shared" si="3"/>
        <v>Strategic Extension</v>
      </c>
      <c r="D30" s="28" t="str">
        <f t="shared" si="4"/>
        <v>Teardown of Rokoko's $3m Strategic Extension deck</v>
      </c>
      <c r="E30" s="30" t="str">
        <f t="shared" si="5"/>
        <v>Sep 29, 2022</v>
      </c>
      <c r="F30" s="31" t="str">
        <f>IFERROR(__xludf.DUMMYFUNCTION("""COMPUTED_VALUE"""),"Rokoko")</f>
        <v>Rokoko</v>
      </c>
      <c r="G30" s="32" t="str">
        <f>IFERROR(__xludf.DUMMYFUNCTION("""COMPUTED_VALUE"""),"rokoko.com")</f>
        <v>rokoko.com</v>
      </c>
      <c r="H30" s="31" t="str">
        <f>IFERROR(__xludf.DUMMYFUNCTION("""COMPUTED_VALUE"""),"$3M")</f>
        <v>$3M</v>
      </c>
      <c r="I30" s="33">
        <f>IFERROR(__xludf.DUMMYFUNCTION("""COMPUTED_VALUE"""),3000000.0)</f>
        <v>3000000</v>
      </c>
      <c r="K30" s="31" t="str">
        <f>IFERROR(__xludf.DUMMYFUNCTION("""COMPUTED_VALUE"""),"Strategic Extension")</f>
        <v>Strategic Extension</v>
      </c>
      <c r="L30" s="34" t="str">
        <f>IFERROR(__xludf.DUMMYFUNCTION("""COMPUTED_VALUE"""),"http://haje.pub/pdt-rokoko")</f>
        <v>http://haje.pub/pdt-rokoko</v>
      </c>
      <c r="M30" s="34" t="str">
        <f>IFERROR(__xludf.DUMMYFUNCTION("""COMPUTED_VALUE"""),"PDT Published Sep 29, 2022")</f>
        <v>PDT Published Sep 29, 2022</v>
      </c>
      <c r="N30" s="31" t="str">
        <f>IFERROR(__xludf.DUMMYFUNCTION("""COMPUTED_VALUE"""),"B2B")</f>
        <v>B2B</v>
      </c>
      <c r="O30" s="31" t="str">
        <f>IFERROR(__xludf.DUMMYFUNCTION("""COMPUTED_VALUE"""),"Entertainment")</f>
        <v>Entertainment</v>
      </c>
    </row>
    <row r="31">
      <c r="A31" s="28" t="str">
        <f t="shared" si="1"/>
        <v>Vori</v>
      </c>
      <c r="B31" s="29" t="str">
        <f t="shared" si="2"/>
        <v>$10m</v>
      </c>
      <c r="C31" s="29" t="str">
        <f t="shared" si="3"/>
        <v>Series A</v>
      </c>
      <c r="D31" s="28" t="str">
        <f t="shared" si="4"/>
        <v>Teardown of Vori's $10m Series A deck</v>
      </c>
      <c r="E31" s="30" t="str">
        <f t="shared" si="5"/>
        <v>Oct 5, 2022</v>
      </c>
      <c r="F31" s="31" t="str">
        <f>IFERROR(__xludf.DUMMYFUNCTION("""COMPUTED_VALUE"""),"Vori")</f>
        <v>Vori</v>
      </c>
      <c r="G31" s="32" t="str">
        <f>IFERROR(__xludf.DUMMYFUNCTION("""COMPUTED_VALUE"""),"www.vori.com")</f>
        <v>www.vori.com</v>
      </c>
      <c r="H31" s="31" t="str">
        <f>IFERROR(__xludf.DUMMYFUNCTION("""COMPUTED_VALUE"""),"$10M")</f>
        <v>$10M</v>
      </c>
      <c r="I31" s="33">
        <f>IFERROR(__xludf.DUMMYFUNCTION("""COMPUTED_VALUE"""),1.0E7)</f>
        <v>10000000</v>
      </c>
      <c r="K31" s="31" t="str">
        <f>IFERROR(__xludf.DUMMYFUNCTION("""COMPUTED_VALUE"""),"Series A")</f>
        <v>Series A</v>
      </c>
      <c r="L31" s="34" t="str">
        <f>IFERROR(__xludf.DUMMYFUNCTION("""COMPUTED_VALUE"""),"http://haje.pub/pdt-vori")</f>
        <v>http://haje.pub/pdt-vori</v>
      </c>
      <c r="M31" s="32" t="str">
        <f>IFERROR(__xludf.DUMMYFUNCTION("""COMPUTED_VALUE"""),"PDT Published Oct 5, 2022")</f>
        <v>PDT Published Oct 5, 2022</v>
      </c>
      <c r="N31" s="31" t="str">
        <f>IFERROR(__xludf.DUMMYFUNCTION("""COMPUTED_VALUE"""),"B2B")</f>
        <v>B2B</v>
      </c>
      <c r="O31" s="31" t="str">
        <f>IFERROR(__xludf.DUMMYFUNCTION("""COMPUTED_VALUE"""),"Grocery")</f>
        <v>Grocery</v>
      </c>
    </row>
    <row r="32">
      <c r="A32" s="28" t="str">
        <f t="shared" si="1"/>
        <v>Supliful</v>
      </c>
      <c r="B32" s="29" t="str">
        <f t="shared" si="2"/>
        <v>$1m</v>
      </c>
      <c r="C32" s="29" t="str">
        <f t="shared" si="3"/>
        <v>Seed</v>
      </c>
      <c r="D32" s="28" t="str">
        <f t="shared" si="4"/>
        <v>Teardown of Supliful's $1m Seed deck</v>
      </c>
      <c r="E32" s="30" t="str">
        <f t="shared" si="5"/>
        <v>Oct 13, 2022</v>
      </c>
      <c r="F32" s="31" t="str">
        <f>IFERROR(__xludf.DUMMYFUNCTION("""COMPUTED_VALUE"""),"Supliful")</f>
        <v>Supliful</v>
      </c>
      <c r="G32" s="32" t="str">
        <f>IFERROR(__xludf.DUMMYFUNCTION("""COMPUTED_VALUE"""),"https://supliful.com")</f>
        <v>https://supliful.com</v>
      </c>
      <c r="H32" s="31" t="str">
        <f>IFERROR(__xludf.DUMMYFUNCTION("""COMPUTED_VALUE"""),"$1M")</f>
        <v>$1M</v>
      </c>
      <c r="I32" s="33">
        <f>IFERROR(__xludf.DUMMYFUNCTION("""COMPUTED_VALUE"""),1000000.0)</f>
        <v>1000000</v>
      </c>
      <c r="K32" s="31" t="str">
        <f>IFERROR(__xludf.DUMMYFUNCTION("""COMPUTED_VALUE"""),"Seed")</f>
        <v>Seed</v>
      </c>
      <c r="L32" s="34" t="str">
        <f>IFERROR(__xludf.DUMMYFUNCTION("""COMPUTED_VALUE"""),"http://haje.pub/pdt-supliful")</f>
        <v>http://haje.pub/pdt-supliful</v>
      </c>
      <c r="M32" s="32" t="str">
        <f>IFERROR(__xludf.DUMMYFUNCTION("""COMPUTED_VALUE"""),"PDT Published Oct 13, 2022")</f>
        <v>PDT Published Oct 13, 2022</v>
      </c>
      <c r="N32" s="31" t="str">
        <f>IFERROR(__xludf.DUMMYFUNCTION("""COMPUTED_VALUE"""),"B2B2C")</f>
        <v>B2B2C</v>
      </c>
      <c r="O32" s="31" t="str">
        <f>IFERROR(__xludf.DUMMYFUNCTION("""COMPUTED_VALUE"""),"Marketing")</f>
        <v>Marketing</v>
      </c>
    </row>
    <row r="33">
      <c r="A33" s="28" t="str">
        <f t="shared" si="1"/>
        <v>Palau Project </v>
      </c>
      <c r="B33" s="29" t="str">
        <f t="shared" si="2"/>
        <v>$125k</v>
      </c>
      <c r="C33" s="29" t="str">
        <f t="shared" si="3"/>
        <v>Pre-seed</v>
      </c>
      <c r="D33" s="28" t="str">
        <f t="shared" si="4"/>
        <v>Teardown of Palau Project 's $125k Pre-seed deck</v>
      </c>
      <c r="E33" s="30" t="str">
        <f t="shared" si="5"/>
        <v>Oct 25, 2022</v>
      </c>
      <c r="F33" s="31" t="str">
        <f>IFERROR(__xludf.DUMMYFUNCTION("""COMPUTED_VALUE"""),"Palau Project ")</f>
        <v>Palau Project </v>
      </c>
      <c r="G33" s="32" t="str">
        <f>IFERROR(__xludf.DUMMYFUNCTION("""COMPUTED_VALUE"""),"https://www.palauproject.com/")</f>
        <v>https://www.palauproject.com/</v>
      </c>
      <c r="H33" s="31" t="str">
        <f>IFERROR(__xludf.DUMMYFUNCTION("""COMPUTED_VALUE"""),"$125K")</f>
        <v>$125K</v>
      </c>
      <c r="I33" s="33">
        <f>IFERROR(__xludf.DUMMYFUNCTION("""COMPUTED_VALUE"""),125000.0)</f>
        <v>125000</v>
      </c>
      <c r="K33" s="31" t="str">
        <f>IFERROR(__xludf.DUMMYFUNCTION("""COMPUTED_VALUE"""),"Pre-seed")</f>
        <v>Pre-seed</v>
      </c>
      <c r="L33" s="34" t="str">
        <f>IFERROR(__xludf.DUMMYFUNCTION("""COMPUTED_VALUE"""),"http://haje.pub/pdt-palau-project")</f>
        <v>http://haje.pub/pdt-palau-project</v>
      </c>
      <c r="M33" s="32" t="str">
        <f>IFERROR(__xludf.DUMMYFUNCTION("""COMPUTED_VALUE"""),"PDT Published Oct 25, 2022")</f>
        <v>PDT Published Oct 25, 2022</v>
      </c>
      <c r="N33" s="31" t="str">
        <f>IFERROR(__xludf.DUMMYFUNCTION("""COMPUTED_VALUE"""),"B2C")</f>
        <v>B2C</v>
      </c>
      <c r="O33" s="31" t="str">
        <f>IFERROR(__xludf.DUMMYFUNCTION("""COMPUTED_VALUE"""),"ClimateTech")</f>
        <v>ClimateTech</v>
      </c>
    </row>
    <row r="34">
      <c r="A34" s="28" t="str">
        <f t="shared" si="1"/>
        <v>Syneroid Technologies</v>
      </c>
      <c r="B34" s="29" t="str">
        <f t="shared" si="2"/>
        <v>$500k</v>
      </c>
      <c r="C34" s="29" t="str">
        <f t="shared" si="3"/>
        <v>Seed</v>
      </c>
      <c r="D34" s="28" t="str">
        <f t="shared" si="4"/>
        <v>Teardown of Syneroid Technologies's $500k Seed deck</v>
      </c>
      <c r="E34" s="30" t="str">
        <f t="shared" si="5"/>
        <v>Nov 10, 2022</v>
      </c>
      <c r="F34" s="31" t="str">
        <f>IFERROR(__xludf.DUMMYFUNCTION("""COMPUTED_VALUE"""),"Syneroid Technologies")</f>
        <v>Syneroid Technologies</v>
      </c>
      <c r="G34" s="32" t="str">
        <f>IFERROR(__xludf.DUMMYFUNCTION("""COMPUTED_VALUE"""),"www.GPCsmart.com  ")</f>
        <v>www.GPCsmart.com  </v>
      </c>
      <c r="H34" s="31" t="str">
        <f>IFERROR(__xludf.DUMMYFUNCTION("""COMPUTED_VALUE"""),"$500K")</f>
        <v>$500K</v>
      </c>
      <c r="I34" s="33">
        <f>IFERROR(__xludf.DUMMYFUNCTION("""COMPUTED_VALUE"""),500000.0)</f>
        <v>500000</v>
      </c>
      <c r="K34" s="31" t="str">
        <f>IFERROR(__xludf.DUMMYFUNCTION("""COMPUTED_VALUE"""),"Seed")</f>
        <v>Seed</v>
      </c>
      <c r="L34" s="34" t="str">
        <f>IFERROR(__xludf.DUMMYFUNCTION("""COMPUTED_VALUE"""),"http://haje.pub/pdt-syneroid-technologies-corp")</f>
        <v>http://haje.pub/pdt-syneroid-technologies-corp</v>
      </c>
      <c r="M34" s="32" t="str">
        <f>IFERROR(__xludf.DUMMYFUNCTION("""COMPUTED_VALUE"""),"PDT Published Nov 10, 2022")</f>
        <v>PDT Published Nov 10, 2022</v>
      </c>
      <c r="N34" s="31" t="str">
        <f>IFERROR(__xludf.DUMMYFUNCTION("""COMPUTED_VALUE"""),"B2C")</f>
        <v>B2C</v>
      </c>
      <c r="O34" s="31" t="str">
        <f>IFERROR(__xludf.DUMMYFUNCTION("""COMPUTED_VALUE"""),"Pets")</f>
        <v>Pets</v>
      </c>
    </row>
    <row r="35">
      <c r="A35" s="28" t="str">
        <f t="shared" si="1"/>
        <v>Sateliot</v>
      </c>
      <c r="B35" s="29" t="str">
        <f t="shared" si="2"/>
        <v>$11.4m</v>
      </c>
      <c r="C35" s="29" t="str">
        <f t="shared" si="3"/>
        <v>Series A</v>
      </c>
      <c r="D35" s="28" t="str">
        <f t="shared" si="4"/>
        <v>Teardown of Sateliot's $11.4m Series A deck</v>
      </c>
      <c r="E35" s="30" t="str">
        <f t="shared" si="5"/>
        <v>Nov 17, 2022</v>
      </c>
      <c r="F35" s="31" t="str">
        <f>IFERROR(__xludf.DUMMYFUNCTION("""COMPUTED_VALUE"""),"Sateliot")</f>
        <v>Sateliot</v>
      </c>
      <c r="G35" s="32" t="str">
        <f>IFERROR(__xludf.DUMMYFUNCTION("""COMPUTED_VALUE"""),"https://sateliot.space/")</f>
        <v>https://sateliot.space/</v>
      </c>
      <c r="H35" s="31" t="str">
        <f>IFERROR(__xludf.DUMMYFUNCTION("""COMPUTED_VALUE"""),"$11.4M")</f>
        <v>$11.4M</v>
      </c>
      <c r="I35" s="33">
        <f>IFERROR(__xludf.DUMMYFUNCTION("""COMPUTED_VALUE"""),1.14E7)</f>
        <v>11400000</v>
      </c>
      <c r="K35" s="31" t="str">
        <f>IFERROR(__xludf.DUMMYFUNCTION("""COMPUTED_VALUE"""),"Series A")</f>
        <v>Series A</v>
      </c>
      <c r="L35" s="34" t="str">
        <f>IFERROR(__xludf.DUMMYFUNCTION("""COMPUTED_VALUE"""),"http://haje.pub/pdt-sateliot")</f>
        <v>http://haje.pub/pdt-sateliot</v>
      </c>
      <c r="M35" s="32" t="str">
        <f>IFERROR(__xludf.DUMMYFUNCTION("""COMPUTED_VALUE"""),"PDT Published Nov 17, 2022")</f>
        <v>PDT Published Nov 17, 2022</v>
      </c>
      <c r="N35" s="31" t="str">
        <f>IFERROR(__xludf.DUMMYFUNCTION("""COMPUTED_VALUE"""),"B2B")</f>
        <v>B2B</v>
      </c>
      <c r="O35" s="31" t="str">
        <f>IFERROR(__xludf.DUMMYFUNCTION("""COMPUTED_VALUE"""),"IoT")</f>
        <v>IoT</v>
      </c>
    </row>
    <row r="36">
      <c r="A36" s="28" t="str">
        <f t="shared" si="1"/>
        <v>Juro</v>
      </c>
      <c r="B36" s="29" t="str">
        <f t="shared" si="2"/>
        <v>$23m</v>
      </c>
      <c r="C36" s="29" t="str">
        <f t="shared" si="3"/>
        <v>Series B</v>
      </c>
      <c r="D36" s="28" t="str">
        <f t="shared" si="4"/>
        <v>Teardown of Juro's $23m Series B deck</v>
      </c>
      <c r="E36" s="30" t="str">
        <f t="shared" si="5"/>
        <v>Nov 25, 2022</v>
      </c>
      <c r="F36" s="31" t="str">
        <f>IFERROR(__xludf.DUMMYFUNCTION("""COMPUTED_VALUE"""),"Juro")</f>
        <v>Juro</v>
      </c>
      <c r="G36" s="32" t="str">
        <f>IFERROR(__xludf.DUMMYFUNCTION("""COMPUTED_VALUE"""),"https://juro.com/")</f>
        <v>https://juro.com/</v>
      </c>
      <c r="H36" s="31" t="str">
        <f>IFERROR(__xludf.DUMMYFUNCTION("""COMPUTED_VALUE"""),"$23M")</f>
        <v>$23M</v>
      </c>
      <c r="I36" s="33">
        <f>IFERROR(__xludf.DUMMYFUNCTION("""COMPUTED_VALUE"""),2.3E7)</f>
        <v>23000000</v>
      </c>
      <c r="K36" s="31" t="str">
        <f>IFERROR(__xludf.DUMMYFUNCTION("""COMPUTED_VALUE"""),"Series B")</f>
        <v>Series B</v>
      </c>
      <c r="L36" s="34" t="str">
        <f>IFERROR(__xludf.DUMMYFUNCTION("""COMPUTED_VALUE"""),"http://haje.pub/pdt-juro")</f>
        <v>http://haje.pub/pdt-juro</v>
      </c>
      <c r="M36" s="32" t="str">
        <f>IFERROR(__xludf.DUMMYFUNCTION("""COMPUTED_VALUE"""),"PDT Published Nov 25, 2022")</f>
        <v>PDT Published Nov 25, 2022</v>
      </c>
      <c r="N36" s="31" t="str">
        <f>IFERROR(__xludf.DUMMYFUNCTION("""COMPUTED_VALUE"""),"B2B")</f>
        <v>B2B</v>
      </c>
      <c r="O36" s="31" t="str">
        <f>IFERROR(__xludf.DUMMYFUNCTION("""COMPUTED_VALUE"""),"LegalTech")</f>
        <v>LegalTech</v>
      </c>
    </row>
    <row r="37">
      <c r="A37" s="28" t="str">
        <f t="shared" si="1"/>
        <v>Hour One</v>
      </c>
      <c r="B37" s="29" t="str">
        <f t="shared" si="2"/>
        <v>$20m</v>
      </c>
      <c r="C37" s="29" t="str">
        <f t="shared" si="3"/>
        <v>Series A</v>
      </c>
      <c r="D37" s="28" t="str">
        <f t="shared" si="4"/>
        <v>Teardown of Hour One's $20m Series A deck</v>
      </c>
      <c r="E37" s="30" t="str">
        <f t="shared" si="5"/>
        <v>Dec 1, 2022</v>
      </c>
      <c r="F37" s="31" t="str">
        <f>IFERROR(__xludf.DUMMYFUNCTION("""COMPUTED_VALUE"""),"Hour One")</f>
        <v>Hour One</v>
      </c>
      <c r="G37" s="32" t="str">
        <f>IFERROR(__xludf.DUMMYFUNCTION("""COMPUTED_VALUE"""),"https://hourone.ai/")</f>
        <v>https://hourone.ai/</v>
      </c>
      <c r="H37" s="31" t="str">
        <f>IFERROR(__xludf.DUMMYFUNCTION("""COMPUTED_VALUE"""),"$20M")</f>
        <v>$20M</v>
      </c>
      <c r="I37" s="33">
        <f>IFERROR(__xludf.DUMMYFUNCTION("""COMPUTED_VALUE"""),2.0E7)</f>
        <v>20000000</v>
      </c>
      <c r="K37" s="31" t="str">
        <f>IFERROR(__xludf.DUMMYFUNCTION("""COMPUTED_VALUE"""),"Series A")</f>
        <v>Series A</v>
      </c>
      <c r="L37" s="34" t="str">
        <f>IFERROR(__xludf.DUMMYFUNCTION("""COMPUTED_VALUE"""),"http://haje.pub/pdt-hour-one")</f>
        <v>http://haje.pub/pdt-hour-one</v>
      </c>
      <c r="M37" s="32" t="str">
        <f>IFERROR(__xludf.DUMMYFUNCTION("""COMPUTED_VALUE"""),"PDT Published Dec 1, 2022")</f>
        <v>PDT Published Dec 1, 2022</v>
      </c>
      <c r="N37" s="31" t="str">
        <f>IFERROR(__xludf.DUMMYFUNCTION("""COMPUTED_VALUE"""),"B2B")</f>
        <v>B2B</v>
      </c>
      <c r="O37" s="31" t="str">
        <f>IFERROR(__xludf.DUMMYFUNCTION("""COMPUTED_VALUE"""),"AI")</f>
        <v>AI</v>
      </c>
    </row>
    <row r="38">
      <c r="A38" s="28" t="str">
        <f t="shared" si="1"/>
        <v>Rootine</v>
      </c>
      <c r="B38" s="29" t="str">
        <f t="shared" si="2"/>
        <v>$10m</v>
      </c>
      <c r="C38" s="29" t="str">
        <f t="shared" si="3"/>
        <v>Series A</v>
      </c>
      <c r="D38" s="28" t="str">
        <f t="shared" si="4"/>
        <v>Teardown of Rootine's $10m Series A deck</v>
      </c>
      <c r="E38" s="30" t="str">
        <f t="shared" si="5"/>
        <v>Dec 8, 2022</v>
      </c>
      <c r="F38" s="31" t="str">
        <f>IFERROR(__xludf.DUMMYFUNCTION("""COMPUTED_VALUE"""),"Rootine")</f>
        <v>Rootine</v>
      </c>
      <c r="G38" s="32" t="str">
        <f>IFERROR(__xludf.DUMMYFUNCTION("""COMPUTED_VALUE"""),"www.rootine.co")</f>
        <v>www.rootine.co</v>
      </c>
      <c r="H38" s="31" t="str">
        <f>IFERROR(__xludf.DUMMYFUNCTION("""COMPUTED_VALUE"""),"$10M")</f>
        <v>$10M</v>
      </c>
      <c r="I38" s="33">
        <f>IFERROR(__xludf.DUMMYFUNCTION("""COMPUTED_VALUE"""),1.0E7)</f>
        <v>10000000</v>
      </c>
      <c r="K38" s="31" t="str">
        <f>IFERROR(__xludf.DUMMYFUNCTION("""COMPUTED_VALUE"""),"Series A")</f>
        <v>Series A</v>
      </c>
      <c r="L38" s="34" t="str">
        <f>IFERROR(__xludf.DUMMYFUNCTION("""COMPUTED_VALUE"""),"http://haje.pub/pdt-rootine")</f>
        <v>http://haje.pub/pdt-rootine</v>
      </c>
      <c r="M38" s="32" t="str">
        <f>IFERROR(__xludf.DUMMYFUNCTION("""COMPUTED_VALUE"""),"PDT Published Dec 8, 2022")</f>
        <v>PDT Published Dec 8, 2022</v>
      </c>
      <c r="N38" s="31" t="str">
        <f>IFERROR(__xludf.DUMMYFUNCTION("""COMPUTED_VALUE"""),"B2C")</f>
        <v>B2C</v>
      </c>
      <c r="O38" s="31" t="str">
        <f>IFERROR(__xludf.DUMMYFUNCTION("""COMPUTED_VALUE"""),"Health")</f>
        <v>Health</v>
      </c>
    </row>
    <row r="39">
      <c r="A39" s="28" t="str">
        <f t="shared" si="1"/>
        <v>MedCrypt</v>
      </c>
      <c r="B39" s="29" t="str">
        <f t="shared" si="2"/>
        <v>$25m</v>
      </c>
      <c r="C39" s="29" t="str">
        <f t="shared" si="3"/>
        <v>Series B</v>
      </c>
      <c r="D39" s="28" t="str">
        <f t="shared" si="4"/>
        <v>Teardown of MedCrypt's $25m Series B deck</v>
      </c>
      <c r="E39" s="30" t="str">
        <f t="shared" si="5"/>
        <v>Dec 15, 2022</v>
      </c>
      <c r="F39" s="31" t="str">
        <f>IFERROR(__xludf.DUMMYFUNCTION("""COMPUTED_VALUE"""),"MedCrypt")</f>
        <v>MedCrypt</v>
      </c>
      <c r="G39" s="32" t="str">
        <f>IFERROR(__xludf.DUMMYFUNCTION("""COMPUTED_VALUE"""),"https://medcrypt.com/")</f>
        <v>https://medcrypt.com/</v>
      </c>
      <c r="H39" s="31" t="str">
        <f>IFERROR(__xludf.DUMMYFUNCTION("""COMPUTED_VALUE"""),"$25M")</f>
        <v>$25M</v>
      </c>
      <c r="I39" s="33">
        <f>IFERROR(__xludf.DUMMYFUNCTION("""COMPUTED_VALUE"""),2.5E7)</f>
        <v>25000000</v>
      </c>
      <c r="K39" s="31" t="str">
        <f>IFERROR(__xludf.DUMMYFUNCTION("""COMPUTED_VALUE"""),"Series B")</f>
        <v>Series B</v>
      </c>
      <c r="L39" s="34" t="str">
        <f>IFERROR(__xludf.DUMMYFUNCTION("""COMPUTED_VALUE"""),"http://haje.pub/pdt-medcrypt")</f>
        <v>http://haje.pub/pdt-medcrypt</v>
      </c>
      <c r="M39" s="32" t="str">
        <f>IFERROR(__xludf.DUMMYFUNCTION("""COMPUTED_VALUE"""),"PDT Published Dec 15, 2022")</f>
        <v>PDT Published Dec 15, 2022</v>
      </c>
      <c r="N39" s="31" t="str">
        <f>IFERROR(__xludf.DUMMYFUNCTION("""COMPUTED_VALUE"""),"B2B")</f>
        <v>B2B</v>
      </c>
      <c r="O39" s="31" t="str">
        <f>IFERROR(__xludf.DUMMYFUNCTION("""COMPUTED_VALUE"""),"Health")</f>
        <v>Health</v>
      </c>
    </row>
    <row r="40">
      <c r="A40" s="28" t="str">
        <f t="shared" si="1"/>
        <v>Card Blanch</v>
      </c>
      <c r="B40" s="29" t="str">
        <f t="shared" si="2"/>
        <v>$460k</v>
      </c>
      <c r="C40" s="29" t="str">
        <f t="shared" si="3"/>
        <v>Angel</v>
      </c>
      <c r="D40" s="28" t="str">
        <f t="shared" si="4"/>
        <v>Teardown of Card Blanch's $460k Angel deck</v>
      </c>
      <c r="E40" s="30" t="str">
        <f t="shared" si="5"/>
        <v>Dec 22, 2022</v>
      </c>
      <c r="F40" s="31" t="str">
        <f>IFERROR(__xludf.DUMMYFUNCTION("""COMPUTED_VALUE"""),"Card Blanch")</f>
        <v>Card Blanch</v>
      </c>
      <c r="G40" s="32" t="str">
        <f>IFERROR(__xludf.DUMMYFUNCTION("""COMPUTED_VALUE"""),"cardblanch.com")</f>
        <v>cardblanch.com</v>
      </c>
      <c r="H40" s="31" t="str">
        <f>IFERROR(__xludf.DUMMYFUNCTION("""COMPUTED_VALUE"""),"$460K")</f>
        <v>$460K</v>
      </c>
      <c r="I40" s="33">
        <f>IFERROR(__xludf.DUMMYFUNCTION("""COMPUTED_VALUE"""),460000.0)</f>
        <v>460000</v>
      </c>
      <c r="K40" s="31" t="str">
        <f>IFERROR(__xludf.DUMMYFUNCTION("""COMPUTED_VALUE"""),"Angel")</f>
        <v>Angel</v>
      </c>
      <c r="L40" s="34" t="str">
        <f>IFERROR(__xludf.DUMMYFUNCTION("""COMPUTED_VALUE"""),"http://haje.pub/pdt-card-blanch")</f>
        <v>http://haje.pub/pdt-card-blanch</v>
      </c>
      <c r="M40" s="32" t="str">
        <f>IFERROR(__xludf.DUMMYFUNCTION("""COMPUTED_VALUE"""),"PDT Published Dec 22, 2022")</f>
        <v>PDT Published Dec 22, 2022</v>
      </c>
      <c r="N40" s="31" t="str">
        <f>IFERROR(__xludf.DUMMYFUNCTION("""COMPUTED_VALUE"""),"B2C")</f>
        <v>B2C</v>
      </c>
      <c r="O40" s="31" t="str">
        <f>IFERROR(__xludf.DUMMYFUNCTION("""COMPUTED_VALUE"""),"FinTech")</f>
        <v>FinTech</v>
      </c>
    </row>
    <row r="41">
      <c r="A41" s="28" t="str">
        <f t="shared" si="1"/>
        <v>Scrintal</v>
      </c>
      <c r="B41" s="29" t="str">
        <f t="shared" si="2"/>
        <v>$1m</v>
      </c>
      <c r="C41" s="29" t="str">
        <f t="shared" si="3"/>
        <v>Seed</v>
      </c>
      <c r="D41" s="28" t="str">
        <f t="shared" si="4"/>
        <v>Teardown of Scrintal's $1m Seed deck</v>
      </c>
      <c r="E41" s="30" t="str">
        <f t="shared" si="5"/>
        <v>Jan 19, 2023</v>
      </c>
      <c r="F41" s="31" t="str">
        <f>IFERROR(__xludf.DUMMYFUNCTION("""COMPUTED_VALUE"""),"Scrintal")</f>
        <v>Scrintal</v>
      </c>
      <c r="G41" s="32" t="str">
        <f>IFERROR(__xludf.DUMMYFUNCTION("""COMPUTED_VALUE"""),"https://www.scrintal.com/")</f>
        <v>https://www.scrintal.com/</v>
      </c>
      <c r="H41" s="31" t="str">
        <f>IFERROR(__xludf.DUMMYFUNCTION("""COMPUTED_VALUE"""),"$1M")</f>
        <v>$1M</v>
      </c>
      <c r="I41" s="33">
        <f>IFERROR(__xludf.DUMMYFUNCTION("""COMPUTED_VALUE"""),1000000.0)</f>
        <v>1000000</v>
      </c>
      <c r="K41" s="31" t="str">
        <f>IFERROR(__xludf.DUMMYFUNCTION("""COMPUTED_VALUE"""),"Seed")</f>
        <v>Seed</v>
      </c>
      <c r="L41" s="34" t="str">
        <f>IFERROR(__xludf.DUMMYFUNCTION("""COMPUTED_VALUE"""),"http://haje.pub/pdt-scrintal")</f>
        <v>http://haje.pub/pdt-scrintal</v>
      </c>
      <c r="M41" s="32" t="str">
        <f>IFERROR(__xludf.DUMMYFUNCTION("""COMPUTED_VALUE"""),"PDT Published Jan 19, 2023")</f>
        <v>PDT Published Jan 19, 2023</v>
      </c>
      <c r="N41" s="31" t="str">
        <f>IFERROR(__xludf.DUMMYFUNCTION("""COMPUTED_VALUE"""),"B2B")</f>
        <v>B2B</v>
      </c>
      <c r="O41" s="31" t="str">
        <f>IFERROR(__xludf.DUMMYFUNCTION("""COMPUTED_VALUE"""),"Productivity")</f>
        <v>Productivity</v>
      </c>
    </row>
    <row r="42">
      <c r="A42" s="28" t="str">
        <f t="shared" si="1"/>
        <v>Orange</v>
      </c>
      <c r="B42" s="29" t="str">
        <f t="shared" si="2"/>
        <v>$2.5m</v>
      </c>
      <c r="C42" s="29" t="str">
        <f t="shared" si="3"/>
        <v>Seed</v>
      </c>
      <c r="D42" s="28" t="str">
        <f t="shared" si="4"/>
        <v>Teardown of Orange's $2.5m Seed deck</v>
      </c>
      <c r="E42" s="30" t="str">
        <f t="shared" si="5"/>
        <v>Jan 26, 2023</v>
      </c>
      <c r="F42" s="31" t="str">
        <f>IFERROR(__xludf.DUMMYFUNCTION("""COMPUTED_VALUE"""),"Orange")</f>
        <v>Orange</v>
      </c>
      <c r="G42" s="32" t="str">
        <f>IFERROR(__xludf.DUMMYFUNCTION("""COMPUTED_VALUE"""),"https://www.orangecharger.com/")</f>
        <v>https://www.orangecharger.com/</v>
      </c>
      <c r="H42" s="31" t="str">
        <f>IFERROR(__xludf.DUMMYFUNCTION("""COMPUTED_VALUE"""),"$2.5M")</f>
        <v>$2.5M</v>
      </c>
      <c r="I42" s="33">
        <f>IFERROR(__xludf.DUMMYFUNCTION("""COMPUTED_VALUE"""),2500000.0)</f>
        <v>2500000</v>
      </c>
      <c r="K42" s="31" t="str">
        <f>IFERROR(__xludf.DUMMYFUNCTION("""COMPUTED_VALUE"""),"Seed")</f>
        <v>Seed</v>
      </c>
      <c r="L42" s="34" t="str">
        <f>IFERROR(__xludf.DUMMYFUNCTION("""COMPUTED_VALUE"""),"http://haje.pub/pdt-orange")</f>
        <v>http://haje.pub/pdt-orange</v>
      </c>
      <c r="M42" s="32" t="str">
        <f>IFERROR(__xludf.DUMMYFUNCTION("""COMPUTED_VALUE"""),"PDT Published Jan 26, 2023")</f>
        <v>PDT Published Jan 26, 2023</v>
      </c>
      <c r="N42" s="31" t="str">
        <f>IFERROR(__xludf.DUMMYFUNCTION("""COMPUTED_VALUE"""),"B2B2C")</f>
        <v>B2B2C</v>
      </c>
      <c r="O42" s="31" t="str">
        <f>IFERROR(__xludf.DUMMYFUNCTION("""COMPUTED_VALUE"""),"Transportation")</f>
        <v>Transportation</v>
      </c>
    </row>
    <row r="43">
      <c r="A43" s="28" t="str">
        <f t="shared" si="1"/>
        <v>Laoshi</v>
      </c>
      <c r="B43" s="29" t="str">
        <f t="shared" si="2"/>
        <v>$570k</v>
      </c>
      <c r="C43" s="29" t="str">
        <f t="shared" si="3"/>
        <v>Angel </v>
      </c>
      <c r="D43" s="28" t="str">
        <f t="shared" si="4"/>
        <v>Teardown of Laoshi's $570k Angel  deck</v>
      </c>
      <c r="E43" s="30" t="str">
        <f t="shared" si="5"/>
        <v>Feb 2, 2023</v>
      </c>
      <c r="F43" s="31" t="str">
        <f>IFERROR(__xludf.DUMMYFUNCTION("""COMPUTED_VALUE"""),"Laoshi")</f>
        <v>Laoshi</v>
      </c>
      <c r="G43" s="32" t="str">
        <f>IFERROR(__xludf.DUMMYFUNCTION("""COMPUTED_VALUE"""),"https://laoshi.io")</f>
        <v>https://laoshi.io</v>
      </c>
      <c r="H43" s="31" t="str">
        <f>IFERROR(__xludf.DUMMYFUNCTION("""COMPUTED_VALUE"""),"$570K")</f>
        <v>$570K</v>
      </c>
      <c r="I43" s="33">
        <f>IFERROR(__xludf.DUMMYFUNCTION("""COMPUTED_VALUE"""),570000.0)</f>
        <v>570000</v>
      </c>
      <c r="K43" s="31" t="str">
        <f>IFERROR(__xludf.DUMMYFUNCTION("""COMPUTED_VALUE"""),"Angel ")</f>
        <v>Angel </v>
      </c>
      <c r="L43" s="34" t="str">
        <f>IFERROR(__xludf.DUMMYFUNCTION("""COMPUTED_VALUE"""),"http://haje.pub/pdt-laoshi")</f>
        <v>http://haje.pub/pdt-laoshi</v>
      </c>
      <c r="M43" s="32" t="str">
        <f>IFERROR(__xludf.DUMMYFUNCTION("""COMPUTED_VALUE"""),"PDT Published Feb 2, 2023")</f>
        <v>PDT Published Feb 2, 2023</v>
      </c>
      <c r="N43" s="31" t="str">
        <f>IFERROR(__xludf.DUMMYFUNCTION("""COMPUTED_VALUE"""),"B2C")</f>
        <v>B2C</v>
      </c>
      <c r="O43" s="31" t="str">
        <f>IFERROR(__xludf.DUMMYFUNCTION("""COMPUTED_VALUE"""),"EdTech")</f>
        <v>EdTech</v>
      </c>
    </row>
    <row r="44">
      <c r="A44" s="28" t="str">
        <f t="shared" si="1"/>
        <v>Spinach</v>
      </c>
      <c r="B44" s="29" t="str">
        <f t="shared" si="2"/>
        <v>$3.5m</v>
      </c>
      <c r="C44" s="29" t="str">
        <f t="shared" si="3"/>
        <v>Seed</v>
      </c>
      <c r="D44" s="28" t="str">
        <f t="shared" si="4"/>
        <v>Teardown of Spinach's $3.5m Seed deck</v>
      </c>
      <c r="E44" s="30" t="str">
        <f t="shared" si="5"/>
        <v>Feb 9, 2023</v>
      </c>
      <c r="F44" s="31" t="str">
        <f>IFERROR(__xludf.DUMMYFUNCTION("""COMPUTED_VALUE"""),"Spinach")</f>
        <v>Spinach</v>
      </c>
      <c r="G44" s="32" t="str">
        <f>IFERROR(__xludf.DUMMYFUNCTION("""COMPUTED_VALUE"""),"https://spinach.io/")</f>
        <v>https://spinach.io/</v>
      </c>
      <c r="H44" s="31" t="str">
        <f>IFERROR(__xludf.DUMMYFUNCTION("""COMPUTED_VALUE"""),"$3.5M")</f>
        <v>$3.5M</v>
      </c>
      <c r="I44" s="33">
        <f>IFERROR(__xludf.DUMMYFUNCTION("""COMPUTED_VALUE"""),3500000.0)</f>
        <v>3500000</v>
      </c>
      <c r="K44" s="31" t="str">
        <f>IFERROR(__xludf.DUMMYFUNCTION("""COMPUTED_VALUE"""),"Seed")</f>
        <v>Seed</v>
      </c>
      <c r="L44" s="34" t="str">
        <f>IFERROR(__xludf.DUMMYFUNCTION("""COMPUTED_VALUE"""),"http://haje.pub/pdt-spinach")</f>
        <v>http://haje.pub/pdt-spinach</v>
      </c>
      <c r="M44" s="32" t="str">
        <f>IFERROR(__xludf.DUMMYFUNCTION("""COMPUTED_VALUE"""),"PDT Published Feb 9, 2023")</f>
        <v>PDT Published Feb 9, 2023</v>
      </c>
      <c r="N44" s="31" t="str">
        <f>IFERROR(__xludf.DUMMYFUNCTION("""COMPUTED_VALUE"""),"B2B")</f>
        <v>B2B</v>
      </c>
      <c r="O44" s="31" t="str">
        <f>IFERROR(__xludf.DUMMYFUNCTION("""COMPUTED_VALUE"""),"SaaS")</f>
        <v>SaaS</v>
      </c>
    </row>
    <row r="45">
      <c r="A45" s="28" t="str">
        <f t="shared" si="1"/>
        <v>Incymo AI</v>
      </c>
      <c r="B45" s="29" t="str">
        <f t="shared" si="2"/>
        <v>$850k</v>
      </c>
      <c r="C45" s="29" t="str">
        <f t="shared" si="3"/>
        <v>Seed</v>
      </c>
      <c r="D45" s="28" t="str">
        <f t="shared" si="4"/>
        <v>Teardown of Incymo AI's $850k Seed deck</v>
      </c>
      <c r="E45" s="30" t="str">
        <f t="shared" si="5"/>
        <v>Feb 16, 2023</v>
      </c>
      <c r="F45" s="31" t="str">
        <f>IFERROR(__xludf.DUMMYFUNCTION("""COMPUTED_VALUE"""),"Incymo AI")</f>
        <v>Incymo AI</v>
      </c>
      <c r="G45" s="32" t="str">
        <f>IFERROR(__xludf.DUMMYFUNCTION("""COMPUTED_VALUE"""),"https://incymo.ai/")</f>
        <v>https://incymo.ai/</v>
      </c>
      <c r="H45" s="31" t="str">
        <f>IFERROR(__xludf.DUMMYFUNCTION("""COMPUTED_VALUE"""),"$850K")</f>
        <v>$850K</v>
      </c>
      <c r="I45" s="33">
        <f>IFERROR(__xludf.DUMMYFUNCTION("""COMPUTED_VALUE"""),850000.0)</f>
        <v>850000</v>
      </c>
      <c r="K45" s="31" t="str">
        <f>IFERROR(__xludf.DUMMYFUNCTION("""COMPUTED_VALUE"""),"Seed")</f>
        <v>Seed</v>
      </c>
      <c r="L45" s="34" t="str">
        <f>IFERROR(__xludf.DUMMYFUNCTION("""COMPUTED_VALUE"""),"http://haje.pub/pdt-incymo-ai")</f>
        <v>http://haje.pub/pdt-incymo-ai</v>
      </c>
      <c r="M45" s="32" t="str">
        <f>IFERROR(__xludf.DUMMYFUNCTION("""COMPUTED_VALUE"""),"PDT Published Feb 16, 2023")</f>
        <v>PDT Published Feb 16, 2023</v>
      </c>
      <c r="N45" s="31" t="str">
        <f>IFERROR(__xludf.DUMMYFUNCTION("""COMPUTED_VALUE"""),"B2B")</f>
        <v>B2B</v>
      </c>
      <c r="O45" s="31" t="str">
        <f>IFERROR(__xludf.DUMMYFUNCTION("""COMPUTED_VALUE"""),"AdTech")</f>
        <v>AdTech</v>
      </c>
    </row>
    <row r="46">
      <c r="A46" s="28" t="str">
        <f t="shared" si="1"/>
        <v>Uber</v>
      </c>
      <c r="B46" s="29" t="str">
        <f t="shared" si="2"/>
        <v>$200k</v>
      </c>
      <c r="C46" s="29" t="str">
        <f t="shared" si="3"/>
        <v>Pre-seed</v>
      </c>
      <c r="D46" s="28" t="str">
        <f t="shared" si="4"/>
        <v>Teardown of Uber's $200k Pre-seed deck</v>
      </c>
      <c r="E46" s="30" t="str">
        <f t="shared" si="5"/>
        <v>Feb 23, 2023</v>
      </c>
      <c r="F46" s="31" t="str">
        <f>IFERROR(__xludf.DUMMYFUNCTION("""COMPUTED_VALUE"""),"Uber")</f>
        <v>Uber</v>
      </c>
      <c r="G46" s="32" t="str">
        <f>IFERROR(__xludf.DUMMYFUNCTION("""COMPUTED_VALUE"""),"http://uber.com")</f>
        <v>http://uber.com</v>
      </c>
      <c r="H46" s="31" t="str">
        <f>IFERROR(__xludf.DUMMYFUNCTION("""COMPUTED_VALUE"""),"$200K")</f>
        <v>$200K</v>
      </c>
      <c r="I46" s="33">
        <f>IFERROR(__xludf.DUMMYFUNCTION("""COMPUTED_VALUE"""),200000.0)</f>
        <v>200000</v>
      </c>
      <c r="K46" s="31" t="str">
        <f>IFERROR(__xludf.DUMMYFUNCTION("""COMPUTED_VALUE"""),"Pre-seed")</f>
        <v>Pre-seed</v>
      </c>
      <c r="L46" s="34" t="str">
        <f>IFERROR(__xludf.DUMMYFUNCTION("""COMPUTED_VALUE"""),"http://haje.pub/pdt-uber")</f>
        <v>http://haje.pub/pdt-uber</v>
      </c>
      <c r="M46" s="32" t="str">
        <f>IFERROR(__xludf.DUMMYFUNCTION("""COMPUTED_VALUE"""),"PDT Published Feb 23, 2023")</f>
        <v>PDT Published Feb 23, 2023</v>
      </c>
      <c r="N46" s="31" t="str">
        <f>IFERROR(__xludf.DUMMYFUNCTION("""COMPUTED_VALUE"""),"B2C")</f>
        <v>B2C</v>
      </c>
      <c r="O46" s="31" t="str">
        <f>IFERROR(__xludf.DUMMYFUNCTION("""COMPUTED_VALUE"""),"Transportation")</f>
        <v>Transportation</v>
      </c>
    </row>
    <row r="47">
      <c r="A47" s="28" t="str">
        <f t="shared" si="1"/>
        <v>Gable</v>
      </c>
      <c r="B47" s="29" t="str">
        <f t="shared" si="2"/>
        <v>$16m</v>
      </c>
      <c r="C47" s="29" t="str">
        <f t="shared" si="3"/>
        <v>Series A</v>
      </c>
      <c r="D47" s="28" t="str">
        <f t="shared" si="4"/>
        <v>Teardown of Gable's $16m Series A deck</v>
      </c>
      <c r="E47" s="30" t="str">
        <f t="shared" si="5"/>
        <v>Mar 2, 2023</v>
      </c>
      <c r="F47" s="31" t="str">
        <f>IFERROR(__xludf.DUMMYFUNCTION("""COMPUTED_VALUE"""),"Gable")</f>
        <v>Gable</v>
      </c>
      <c r="G47" s="32" t="str">
        <f>IFERROR(__xludf.DUMMYFUNCTION("""COMPUTED_VALUE"""),"https://www.gable.to/")</f>
        <v>https://www.gable.to/</v>
      </c>
      <c r="H47" s="31" t="str">
        <f>IFERROR(__xludf.DUMMYFUNCTION("""COMPUTED_VALUE"""),"$16M")</f>
        <v>$16M</v>
      </c>
      <c r="I47" s="33">
        <f>IFERROR(__xludf.DUMMYFUNCTION("""COMPUTED_VALUE"""),1.6E7)</f>
        <v>16000000</v>
      </c>
      <c r="K47" s="31" t="str">
        <f>IFERROR(__xludf.DUMMYFUNCTION("""COMPUTED_VALUE"""),"Series A")</f>
        <v>Series A</v>
      </c>
      <c r="L47" s="34" t="str">
        <f>IFERROR(__xludf.DUMMYFUNCTION("""COMPUTED_VALUE"""),"http://haje.pub/pdt-gable")</f>
        <v>http://haje.pub/pdt-gable</v>
      </c>
      <c r="M47" s="32" t="str">
        <f>IFERROR(__xludf.DUMMYFUNCTION("""COMPUTED_VALUE"""),"PDT Published Mar 2, 2023")</f>
        <v>PDT Published Mar 2, 2023</v>
      </c>
      <c r="N47" s="31" t="str">
        <f>IFERROR(__xludf.DUMMYFUNCTION("""COMPUTED_VALUE"""),"B2B")</f>
        <v>B2B</v>
      </c>
      <c r="O47" s="31" t="str">
        <f>IFERROR(__xludf.DUMMYFUNCTION("""COMPUTED_VALUE"""),"Future of Work")</f>
        <v>Future of Work</v>
      </c>
    </row>
    <row r="48">
      <c r="A48" s="28" t="str">
        <f t="shared" si="1"/>
        <v>MiO Marketplace</v>
      </c>
      <c r="B48" s="29" t="str">
        <f t="shared" si="2"/>
        <v>$550k</v>
      </c>
      <c r="C48" s="29" t="str">
        <f t="shared" si="3"/>
        <v>Angel</v>
      </c>
      <c r="D48" s="28" t="str">
        <f t="shared" si="4"/>
        <v>Teardown of MiO Marketplace's $550k Angel deck</v>
      </c>
      <c r="E48" s="30" t="str">
        <f t="shared" si="5"/>
        <v>Mar 9, 2023</v>
      </c>
      <c r="F48" s="31" t="str">
        <f>IFERROR(__xludf.DUMMYFUNCTION("""COMPUTED_VALUE"""),"MiO Marketplace")</f>
        <v>MiO Marketplace</v>
      </c>
      <c r="G48" s="32" t="str">
        <f>IFERROR(__xludf.DUMMYFUNCTION("""COMPUTED_VALUE"""),"miomarketplace.com")</f>
        <v>miomarketplace.com</v>
      </c>
      <c r="H48" s="31" t="str">
        <f>IFERROR(__xludf.DUMMYFUNCTION("""COMPUTED_VALUE"""),"$550K")</f>
        <v>$550K</v>
      </c>
      <c r="I48" s="33">
        <f>IFERROR(__xludf.DUMMYFUNCTION("""COMPUTED_VALUE"""),550000.0)</f>
        <v>550000</v>
      </c>
      <c r="K48" s="31" t="str">
        <f>IFERROR(__xludf.DUMMYFUNCTION("""COMPUTED_VALUE"""),"Angel")</f>
        <v>Angel</v>
      </c>
      <c r="L48" s="34" t="str">
        <f>IFERROR(__xludf.DUMMYFUNCTION("""COMPUTED_VALUE"""),"http://haje.pub/pdt-mio-marketplace")</f>
        <v>http://haje.pub/pdt-mio-marketplace</v>
      </c>
      <c r="M48" s="32" t="str">
        <f>IFERROR(__xludf.DUMMYFUNCTION("""COMPUTED_VALUE"""),"PDT Published Mar 9, 2023")</f>
        <v>PDT Published Mar 9, 2023</v>
      </c>
      <c r="N48" s="31" t="str">
        <f>IFERROR(__xludf.DUMMYFUNCTION("""COMPUTED_VALUE"""),"B2B")</f>
        <v>B2B</v>
      </c>
      <c r="O48" s="31" t="str">
        <f>IFERROR(__xludf.DUMMYFUNCTION("""COMPUTED_VALUE"""),"AdTech")</f>
        <v>AdTech</v>
      </c>
    </row>
    <row r="49">
      <c r="A49" s="28" t="str">
        <f t="shared" si="1"/>
        <v>StudentFinance</v>
      </c>
      <c r="B49" s="29" t="str">
        <f t="shared" si="2"/>
        <v>$41m</v>
      </c>
      <c r="C49" s="29" t="str">
        <f t="shared" si="3"/>
        <v>Series A</v>
      </c>
      <c r="D49" s="28" t="str">
        <f t="shared" si="4"/>
        <v>Teardown of StudentFinance's $41m Series A deck</v>
      </c>
      <c r="E49" s="30" t="str">
        <f t="shared" si="5"/>
        <v>Mar 16, 2023</v>
      </c>
      <c r="F49" s="31" t="str">
        <f>IFERROR(__xludf.DUMMYFUNCTION("""COMPUTED_VALUE"""),"StudentFinance")</f>
        <v>StudentFinance</v>
      </c>
      <c r="G49" s="32" t="str">
        <f>IFERROR(__xludf.DUMMYFUNCTION("""COMPUTED_VALUE"""),"www.studentfinance.com")</f>
        <v>www.studentfinance.com</v>
      </c>
      <c r="H49" s="31" t="str">
        <f>IFERROR(__xludf.DUMMYFUNCTION("""COMPUTED_VALUE"""),"$41m ")</f>
        <v>$41m </v>
      </c>
      <c r="I49" s="33">
        <f>IFERROR(__xludf.DUMMYFUNCTION("""COMPUTED_VALUE"""),4.1E7)</f>
        <v>41000000</v>
      </c>
      <c r="K49" s="31" t="str">
        <f>IFERROR(__xludf.DUMMYFUNCTION("""COMPUTED_VALUE"""),"Series A")</f>
        <v>Series A</v>
      </c>
      <c r="L49" s="34" t="str">
        <f>IFERROR(__xludf.DUMMYFUNCTION("""COMPUTED_VALUE"""),"http://haje.pub/pdt-studentfinance")</f>
        <v>http://haje.pub/pdt-studentfinance</v>
      </c>
      <c r="M49" s="32" t="str">
        <f>IFERROR(__xludf.DUMMYFUNCTION("""COMPUTED_VALUE"""),"PDT Published Mar 16, 2023")</f>
        <v>PDT Published Mar 16, 2023</v>
      </c>
      <c r="N49" s="31" t="str">
        <f>IFERROR(__xludf.DUMMYFUNCTION("""COMPUTED_VALUE"""),"B2B2C")</f>
        <v>B2B2C</v>
      </c>
      <c r="O49" s="31" t="str">
        <f>IFERROR(__xludf.DUMMYFUNCTION("""COMPUTED_VALUE"""),"EdTech")</f>
        <v>EdTech</v>
      </c>
    </row>
    <row r="50">
      <c r="A50" s="28" t="str">
        <f t="shared" si="1"/>
        <v>Prelaunch</v>
      </c>
      <c r="B50" s="29" t="str">
        <f t="shared" si="2"/>
        <v>$1.5m</v>
      </c>
      <c r="C50" s="29" t="str">
        <f t="shared" si="3"/>
        <v>Seed</v>
      </c>
      <c r="D50" s="28" t="str">
        <f t="shared" si="4"/>
        <v>Teardown of Prelaunch's $1.5m Seed deck</v>
      </c>
      <c r="E50" s="30" t="str">
        <f t="shared" si="5"/>
        <v>Mar 23, 2023</v>
      </c>
      <c r="F50" s="31" t="str">
        <f>IFERROR(__xludf.DUMMYFUNCTION("""COMPUTED_VALUE"""),"Prelaunch")</f>
        <v>Prelaunch</v>
      </c>
      <c r="G50" s="32" t="str">
        <f>IFERROR(__xludf.DUMMYFUNCTION("""COMPUTED_VALUE"""),"https://prelaunch.com/")</f>
        <v>https://prelaunch.com/</v>
      </c>
      <c r="H50" s="31" t="str">
        <f>IFERROR(__xludf.DUMMYFUNCTION("""COMPUTED_VALUE"""),"$1.5M")</f>
        <v>$1.5M</v>
      </c>
      <c r="I50" s="33">
        <f>IFERROR(__xludf.DUMMYFUNCTION("""COMPUTED_VALUE"""),1500000.0)</f>
        <v>1500000</v>
      </c>
      <c r="K50" s="31" t="str">
        <f>IFERROR(__xludf.DUMMYFUNCTION("""COMPUTED_VALUE"""),"Seed")</f>
        <v>Seed</v>
      </c>
      <c r="L50" s="34" t="str">
        <f>IFERROR(__xludf.DUMMYFUNCTION("""COMPUTED_VALUE"""),"http://haje.pub/pdt-prelaunch")</f>
        <v>http://haje.pub/pdt-prelaunch</v>
      </c>
      <c r="M50" s="32" t="str">
        <f>IFERROR(__xludf.DUMMYFUNCTION("""COMPUTED_VALUE"""),"PDT Published Mar 23, 2023")</f>
        <v>PDT Published Mar 23, 2023</v>
      </c>
      <c r="N50" s="31" t="str">
        <f>IFERROR(__xludf.DUMMYFUNCTION("""COMPUTED_VALUE"""),"B2B")</f>
        <v>B2B</v>
      </c>
      <c r="O50" s="31" t="str">
        <f>IFERROR(__xludf.DUMMYFUNCTION("""COMPUTED_VALUE"""),"Product Development")</f>
        <v>Product Development</v>
      </c>
    </row>
    <row r="51">
      <c r="A51" s="28" t="str">
        <f t="shared" si="1"/>
        <v>Northspyre</v>
      </c>
      <c r="B51" s="29" t="str">
        <f t="shared" si="2"/>
        <v>$25m</v>
      </c>
      <c r="C51" s="29" t="str">
        <f t="shared" si="3"/>
        <v>Series B</v>
      </c>
      <c r="D51" s="28" t="str">
        <f t="shared" si="4"/>
        <v>Teardown of Northspyre's $25m Series B deck</v>
      </c>
      <c r="E51" s="30" t="str">
        <f t="shared" si="5"/>
        <v>Mar 30, 2023</v>
      </c>
      <c r="F51" s="31" t="str">
        <f>IFERROR(__xludf.DUMMYFUNCTION("""COMPUTED_VALUE"""),"Northspyre")</f>
        <v>Northspyre</v>
      </c>
      <c r="G51" s="32" t="str">
        <f>IFERROR(__xludf.DUMMYFUNCTION("""COMPUTED_VALUE"""),"https://www.northspyre.com/")</f>
        <v>https://www.northspyre.com/</v>
      </c>
      <c r="H51" s="31" t="str">
        <f>IFERROR(__xludf.DUMMYFUNCTION("""COMPUTED_VALUE"""),"$25M")</f>
        <v>$25M</v>
      </c>
      <c r="I51" s="33">
        <f>IFERROR(__xludf.DUMMYFUNCTION("""COMPUTED_VALUE"""),2.5E7)</f>
        <v>25000000</v>
      </c>
      <c r="K51" s="31" t="str">
        <f>IFERROR(__xludf.DUMMYFUNCTION("""COMPUTED_VALUE"""),"Series B")</f>
        <v>Series B</v>
      </c>
      <c r="L51" s="34" t="str">
        <f>IFERROR(__xludf.DUMMYFUNCTION("""COMPUTED_VALUE"""),"http://haje.pub/pdt-northspyre")</f>
        <v>http://haje.pub/pdt-northspyre</v>
      </c>
      <c r="M51" s="32" t="str">
        <f>IFERROR(__xludf.DUMMYFUNCTION("""COMPUTED_VALUE"""),"PDT Published Mar 30, 2023")</f>
        <v>PDT Published Mar 30, 2023</v>
      </c>
      <c r="N51" s="31" t="str">
        <f>IFERROR(__xludf.DUMMYFUNCTION("""COMPUTED_VALUE"""),"B2B")</f>
        <v>B2B</v>
      </c>
      <c r="O51" s="31" t="str">
        <f>IFERROR(__xludf.DUMMYFUNCTION("""COMPUTED_VALUE"""),"Construction")</f>
        <v>Construction</v>
      </c>
    </row>
    <row r="52">
      <c r="A52" s="28" t="str">
        <f t="shared" si="1"/>
        <v>Smalls</v>
      </c>
      <c r="B52" s="29" t="str">
        <f t="shared" si="2"/>
        <v>$19m</v>
      </c>
      <c r="C52" s="29" t="str">
        <f t="shared" si="3"/>
        <v>Series B</v>
      </c>
      <c r="D52" s="28" t="str">
        <f t="shared" si="4"/>
        <v>Teardown of Smalls's $19m Series B deck</v>
      </c>
      <c r="E52" s="30" t="str">
        <f t="shared" si="5"/>
        <v>Apr 4, 2023</v>
      </c>
      <c r="F52" s="31" t="str">
        <f>IFERROR(__xludf.DUMMYFUNCTION("""COMPUTED_VALUE"""),"Smalls")</f>
        <v>Smalls</v>
      </c>
      <c r="G52" s="32" t="str">
        <f>IFERROR(__xludf.DUMMYFUNCTION("""COMPUTED_VALUE"""),"smalls.com")</f>
        <v>smalls.com</v>
      </c>
      <c r="H52" s="31" t="str">
        <f>IFERROR(__xludf.DUMMYFUNCTION("""COMPUTED_VALUE"""),"$19M ")</f>
        <v>$19M </v>
      </c>
      <c r="I52" s="33">
        <f>IFERROR(__xludf.DUMMYFUNCTION("""COMPUTED_VALUE"""),1.9E7)</f>
        <v>19000000</v>
      </c>
      <c r="K52" s="31" t="str">
        <f>IFERROR(__xludf.DUMMYFUNCTION("""COMPUTED_VALUE"""),"Series B")</f>
        <v>Series B</v>
      </c>
      <c r="L52" s="34" t="str">
        <f>IFERROR(__xludf.DUMMYFUNCTION("""COMPUTED_VALUE"""),"http://haje.pub/pdt-smalls")</f>
        <v>http://haje.pub/pdt-smalls</v>
      </c>
      <c r="M52" s="32" t="str">
        <f>IFERROR(__xludf.DUMMYFUNCTION("""COMPUTED_VALUE"""),"PDT Published Apr 4, 2023")</f>
        <v>PDT Published Apr 4, 2023</v>
      </c>
      <c r="N52" s="31" t="str">
        <f>IFERROR(__xludf.DUMMYFUNCTION("""COMPUTED_VALUE"""),"B2C")</f>
        <v>B2C</v>
      </c>
      <c r="O52" s="31" t="str">
        <f>IFERROR(__xludf.DUMMYFUNCTION("""COMPUTED_VALUE"""),"Pets")</f>
        <v>Pets</v>
      </c>
    </row>
    <row r="53">
      <c r="A53" s="28" t="str">
        <f t="shared" si="1"/>
        <v>Diamond Standard</v>
      </c>
      <c r="B53" s="29" t="str">
        <f t="shared" si="2"/>
        <v>$30m</v>
      </c>
      <c r="C53" s="29" t="str">
        <f t="shared" si="3"/>
        <v>Series A</v>
      </c>
      <c r="D53" s="28" t="str">
        <f t="shared" si="4"/>
        <v>Teardown of Diamond Standard's $30m Series A deck</v>
      </c>
      <c r="E53" s="30" t="str">
        <f t="shared" si="5"/>
        <v>Apr 13, 2023</v>
      </c>
      <c r="F53" s="31" t="str">
        <f>IFERROR(__xludf.DUMMYFUNCTION("""COMPUTED_VALUE"""),"Diamond Standard")</f>
        <v>Diamond Standard</v>
      </c>
      <c r="G53" s="32" t="str">
        <f>IFERROR(__xludf.DUMMYFUNCTION("""COMPUTED_VALUE"""),"https://diamondstandard.co/")</f>
        <v>https://diamondstandard.co/</v>
      </c>
      <c r="H53" s="31" t="str">
        <f>IFERROR(__xludf.DUMMYFUNCTION("""COMPUTED_VALUE"""),"$30M")</f>
        <v>$30M</v>
      </c>
      <c r="I53" s="33">
        <f>IFERROR(__xludf.DUMMYFUNCTION("""COMPUTED_VALUE"""),3.0E7)</f>
        <v>30000000</v>
      </c>
      <c r="K53" s="31" t="str">
        <f>IFERROR(__xludf.DUMMYFUNCTION("""COMPUTED_VALUE"""),"Series A")</f>
        <v>Series A</v>
      </c>
      <c r="L53" s="34" t="str">
        <f>IFERROR(__xludf.DUMMYFUNCTION("""COMPUTED_VALUE"""),"http://haje.pub/pdt-diamond-standard")</f>
        <v>http://haje.pub/pdt-diamond-standard</v>
      </c>
      <c r="M53" s="32" t="str">
        <f>IFERROR(__xludf.DUMMYFUNCTION("""COMPUTED_VALUE"""),"PDT Published Apr 13, 2023")</f>
        <v>PDT Published Apr 13, 2023</v>
      </c>
      <c r="N53" s="31" t="str">
        <f>IFERROR(__xludf.DUMMYFUNCTION("""COMPUTED_VALUE"""),"B2C")</f>
        <v>B2C</v>
      </c>
      <c r="O53" s="31" t="str">
        <f>IFERROR(__xludf.DUMMYFUNCTION("""COMPUTED_VALUE"""),"FinTech")</f>
        <v>FinTech</v>
      </c>
    </row>
    <row r="54">
      <c r="A54" s="28" t="str">
        <f t="shared" si="1"/>
        <v>Honeycomb </v>
      </c>
      <c r="B54" s="29" t="str">
        <f t="shared" si="2"/>
        <v>$50m</v>
      </c>
      <c r="C54" s="29" t="str">
        <f t="shared" si="3"/>
        <v>Series D</v>
      </c>
      <c r="D54" s="28" t="str">
        <f t="shared" si="4"/>
        <v>Teardown of Honeycomb 's $50m Series D deck</v>
      </c>
      <c r="E54" s="30" t="str">
        <f t="shared" si="5"/>
        <v>Apr 20, 2023</v>
      </c>
      <c r="F54" s="31" t="str">
        <f>IFERROR(__xludf.DUMMYFUNCTION("""COMPUTED_VALUE"""),"Honeycomb ")</f>
        <v>Honeycomb </v>
      </c>
      <c r="G54" s="32" t="str">
        <f>IFERROR(__xludf.DUMMYFUNCTION("""COMPUTED_VALUE"""),"https://www.honeycomb.io/")</f>
        <v>https://www.honeycomb.io/</v>
      </c>
      <c r="H54" s="31" t="str">
        <f>IFERROR(__xludf.DUMMYFUNCTION("""COMPUTED_VALUE"""),"$50M")</f>
        <v>$50M</v>
      </c>
      <c r="I54" s="33">
        <f>IFERROR(__xludf.DUMMYFUNCTION("""COMPUTED_VALUE"""),5.0E7)</f>
        <v>50000000</v>
      </c>
      <c r="K54" s="31" t="str">
        <f>IFERROR(__xludf.DUMMYFUNCTION("""COMPUTED_VALUE"""),"Series D")</f>
        <v>Series D</v>
      </c>
      <c r="L54" s="34" t="str">
        <f>IFERROR(__xludf.DUMMYFUNCTION("""COMPUTED_VALUE"""),"http://haje.pub/pdt-honeycomb")</f>
        <v>http://haje.pub/pdt-honeycomb</v>
      </c>
      <c r="M54" s="32" t="str">
        <f>IFERROR(__xludf.DUMMYFUNCTION("""COMPUTED_VALUE"""),"PDT Published Apr 20, 2023")</f>
        <v>PDT Published Apr 20, 2023</v>
      </c>
      <c r="N54" s="31" t="str">
        <f>IFERROR(__xludf.DUMMYFUNCTION("""COMPUTED_VALUE"""),"B2B")</f>
        <v>B2B</v>
      </c>
      <c r="O54" s="31" t="str">
        <f>IFERROR(__xludf.DUMMYFUNCTION("""COMPUTED_VALUE"""),"Analytics")</f>
        <v>Analytics</v>
      </c>
    </row>
    <row r="55">
      <c r="A55" s="28" t="str">
        <f t="shared" si="1"/>
        <v>Careerist</v>
      </c>
      <c r="B55" s="29" t="str">
        <f t="shared" si="2"/>
        <v>$8m</v>
      </c>
      <c r="C55" s="29" t="str">
        <f t="shared" si="3"/>
        <v>Series A</v>
      </c>
      <c r="D55" s="28" t="str">
        <f t="shared" si="4"/>
        <v>Teardown of Careerist's $8m Series A deck</v>
      </c>
      <c r="E55" s="30" t="str">
        <f t="shared" si="5"/>
        <v>Apr 27, 2023</v>
      </c>
      <c r="F55" s="31" t="str">
        <f>IFERROR(__xludf.DUMMYFUNCTION("""COMPUTED_VALUE"""),"Careerist")</f>
        <v>Careerist</v>
      </c>
      <c r="G55" s="32" t="str">
        <f>IFERROR(__xludf.DUMMYFUNCTION("""COMPUTED_VALUE"""),"https://www.careerist.com")</f>
        <v>https://www.careerist.com</v>
      </c>
      <c r="H55" s="31" t="str">
        <f>IFERROR(__xludf.DUMMYFUNCTION("""COMPUTED_VALUE"""),"$8M")</f>
        <v>$8M</v>
      </c>
      <c r="I55" s="33">
        <f>IFERROR(__xludf.DUMMYFUNCTION("""COMPUTED_VALUE"""),8000000.0)</f>
        <v>8000000</v>
      </c>
      <c r="K55" s="31" t="str">
        <f>IFERROR(__xludf.DUMMYFUNCTION("""COMPUTED_VALUE"""),"Series A")</f>
        <v>Series A</v>
      </c>
      <c r="L55" s="34" t="str">
        <f>IFERROR(__xludf.DUMMYFUNCTION("""COMPUTED_VALUE"""),"http://haje.pub/pdt-careerist")</f>
        <v>http://haje.pub/pdt-careerist</v>
      </c>
      <c r="M55" s="32" t="str">
        <f>IFERROR(__xludf.DUMMYFUNCTION("""COMPUTED_VALUE"""),"PDT Published Apr 27, 2023")</f>
        <v>PDT Published Apr 27, 2023</v>
      </c>
      <c r="N55" s="31" t="str">
        <f>IFERROR(__xludf.DUMMYFUNCTION("""COMPUTED_VALUE"""),"B2C")</f>
        <v>B2C</v>
      </c>
      <c r="O55" s="31" t="str">
        <f>IFERROR(__xludf.DUMMYFUNCTION("""COMPUTED_VALUE"""),"EdTech")</f>
        <v>EdTech</v>
      </c>
    </row>
    <row r="56">
      <c r="A56" s="35" t="str">
        <f t="shared" si="1"/>
        <v>The Perfect Pitch Deck</v>
      </c>
      <c r="B56" s="29" t="str">
        <f t="shared" si="2"/>
        <v>$1m</v>
      </c>
      <c r="C56" s="29" t="str">
        <f t="shared" si="3"/>
        <v>Seed</v>
      </c>
      <c r="D56" s="28" t="str">
        <f t="shared" si="4"/>
        <v>Teardown of The Perfect Pitch Deck's $1m Seed deck</v>
      </c>
      <c r="E56" s="30" t="str">
        <f t="shared" si="5"/>
        <v>May 4, 2023</v>
      </c>
      <c r="F56" s="31" t="str">
        <f>IFERROR(__xludf.DUMMYFUNCTION("""COMPUTED_VALUE"""),"The Perfect Pitch Deck")</f>
        <v>The Perfect Pitch Deck</v>
      </c>
      <c r="G56" s="31"/>
      <c r="H56" s="31" t="str">
        <f>IFERROR(__xludf.DUMMYFUNCTION("""COMPUTED_VALUE"""),"$1M")</f>
        <v>$1M</v>
      </c>
      <c r="I56" s="33">
        <f>IFERROR(__xludf.DUMMYFUNCTION("""COMPUTED_VALUE"""),1000000.0)</f>
        <v>1000000</v>
      </c>
      <c r="K56" s="31" t="str">
        <f>IFERROR(__xludf.DUMMYFUNCTION("""COMPUTED_VALUE"""),"Seed")</f>
        <v>Seed</v>
      </c>
      <c r="L56" s="34" t="str">
        <f>IFERROR(__xludf.DUMMYFUNCTION("""COMPUTED_VALUE"""),"http://haje.pub/pdt-the-perfect-pitch-deck")</f>
        <v>http://haje.pub/pdt-the-perfect-pitch-deck</v>
      </c>
      <c r="M56" s="32" t="str">
        <f>IFERROR(__xludf.DUMMYFUNCTION("""COMPUTED_VALUE"""),"PDT Published May 4, 2023")</f>
        <v>PDT Published May 4, 2023</v>
      </c>
      <c r="N56" s="31" t="str">
        <f>IFERROR(__xludf.DUMMYFUNCTION("""COMPUTED_VALUE"""),"B2B2C")</f>
        <v>B2B2C</v>
      </c>
      <c r="O56" s="31" t="str">
        <f>IFERROR(__xludf.DUMMYFUNCTION("""COMPUTED_VALUE"""),"Marketing")</f>
        <v>Marketing</v>
      </c>
    </row>
    <row r="57">
      <c r="A57" s="28" t="str">
        <f t="shared" si="1"/>
        <v>Fibery</v>
      </c>
      <c r="B57" s="29" t="str">
        <f t="shared" si="2"/>
        <v>$5.2m</v>
      </c>
      <c r="C57" s="29" t="str">
        <f t="shared" si="3"/>
        <v>Series A</v>
      </c>
      <c r="D57" s="28" t="str">
        <f t="shared" si="4"/>
        <v>Teardown of Fibery's $5.2m Series A deck</v>
      </c>
      <c r="E57" s="30" t="str">
        <f t="shared" si="5"/>
        <v>May 11, 2023</v>
      </c>
      <c r="F57" s="31" t="str">
        <f>IFERROR(__xludf.DUMMYFUNCTION("""COMPUTED_VALUE"""),"Fibery")</f>
        <v>Fibery</v>
      </c>
      <c r="G57" s="32" t="str">
        <f>IFERROR(__xludf.DUMMYFUNCTION("""COMPUTED_VALUE"""),"www.fibery.io")</f>
        <v>www.fibery.io</v>
      </c>
      <c r="H57" s="31" t="str">
        <f>IFERROR(__xludf.DUMMYFUNCTION("""COMPUTED_VALUE"""),"$5.2M")</f>
        <v>$5.2M</v>
      </c>
      <c r="I57" s="33">
        <f>IFERROR(__xludf.DUMMYFUNCTION("""COMPUTED_VALUE"""),5200000.0)</f>
        <v>5200000</v>
      </c>
      <c r="K57" s="31" t="str">
        <f>IFERROR(__xludf.DUMMYFUNCTION("""COMPUTED_VALUE"""),"Series A")</f>
        <v>Series A</v>
      </c>
      <c r="L57" s="34" t="str">
        <f>IFERROR(__xludf.DUMMYFUNCTION("""COMPUTED_VALUE"""),"http://haje.pub/pdt-fibery")</f>
        <v>http://haje.pub/pdt-fibery</v>
      </c>
      <c r="M57" s="32" t="str">
        <f>IFERROR(__xludf.DUMMYFUNCTION("""COMPUTED_VALUE"""),"PDT Published May 11, 2023")</f>
        <v>PDT Published May 11, 2023</v>
      </c>
      <c r="N57" s="31" t="str">
        <f>IFERROR(__xludf.DUMMYFUNCTION("""COMPUTED_VALUE"""),"B2B")</f>
        <v>B2B</v>
      </c>
      <c r="O57" s="31" t="str">
        <f>IFERROR(__xludf.DUMMYFUNCTION("""COMPUTED_VALUE"""),"Productivity")</f>
        <v>Productivity</v>
      </c>
    </row>
    <row r="58">
      <c r="A58" s="28" t="str">
        <f t="shared" si="1"/>
        <v>Ageras</v>
      </c>
      <c r="B58" s="29" t="str">
        <f t="shared" si="2"/>
        <v>$36m</v>
      </c>
      <c r="C58" s="29" t="str">
        <f t="shared" si="3"/>
        <v>Private Equity</v>
      </c>
      <c r="D58" s="28" t="str">
        <f t="shared" si="4"/>
        <v>Teardown of Ageras's $36m Private Equity deck</v>
      </c>
      <c r="E58" s="30" t="str">
        <f t="shared" si="5"/>
        <v>May 18, 2023</v>
      </c>
      <c r="F58" s="31" t="str">
        <f>IFERROR(__xludf.DUMMYFUNCTION("""COMPUTED_VALUE"""),"Ageras")</f>
        <v>Ageras</v>
      </c>
      <c r="G58" s="32" t="str">
        <f>IFERROR(__xludf.DUMMYFUNCTION("""COMPUTED_VALUE"""),"www.ageras.com")</f>
        <v>www.ageras.com</v>
      </c>
      <c r="H58" s="31" t="str">
        <f>IFERROR(__xludf.DUMMYFUNCTION("""COMPUTED_VALUE"""),"€35M ($36M) ")</f>
        <v>€35M ($36M) </v>
      </c>
      <c r="I58" s="33">
        <f>IFERROR(__xludf.DUMMYFUNCTION("""COMPUTED_VALUE"""),3.6E7)</f>
        <v>36000000</v>
      </c>
      <c r="K58" s="31" t="str">
        <f>IFERROR(__xludf.DUMMYFUNCTION("""COMPUTED_VALUE"""),"Private Equity")</f>
        <v>Private Equity</v>
      </c>
      <c r="L58" s="34" t="str">
        <f>IFERROR(__xludf.DUMMYFUNCTION("""COMPUTED_VALUE"""),"http://haje.pub/pdt-ageras")</f>
        <v>http://haje.pub/pdt-ageras</v>
      </c>
      <c r="M58" s="32" t="str">
        <f>IFERROR(__xludf.DUMMYFUNCTION("""COMPUTED_VALUE"""),"PDT Published May 18, 2023")</f>
        <v>PDT Published May 18, 2023</v>
      </c>
      <c r="N58" s="31" t="str">
        <f>IFERROR(__xludf.DUMMYFUNCTION("""COMPUTED_VALUE"""),"B2B")</f>
        <v>B2B</v>
      </c>
      <c r="O58" s="31" t="str">
        <f>IFERROR(__xludf.DUMMYFUNCTION("""COMPUTED_VALUE"""),"FinTech")</f>
        <v>FinTech</v>
      </c>
    </row>
    <row r="59">
      <c r="A59" s="28" t="str">
        <f t="shared" si="1"/>
        <v>Faye</v>
      </c>
      <c r="B59" s="29" t="str">
        <f t="shared" si="2"/>
        <v>$10m</v>
      </c>
      <c r="C59" s="29" t="str">
        <f t="shared" si="3"/>
        <v>Series A</v>
      </c>
      <c r="D59" s="28" t="str">
        <f t="shared" si="4"/>
        <v>Teardown of Faye's $10m Series A deck</v>
      </c>
      <c r="E59" s="30" t="str">
        <f t="shared" si="5"/>
        <v>May 26, 2023</v>
      </c>
      <c r="F59" s="31" t="str">
        <f>IFERROR(__xludf.DUMMYFUNCTION("""COMPUTED_VALUE"""),"Faye")</f>
        <v>Faye</v>
      </c>
      <c r="G59" s="32" t="str">
        <f>IFERROR(__xludf.DUMMYFUNCTION("""COMPUTED_VALUE"""),"www.withfaye.com")</f>
        <v>www.withfaye.com</v>
      </c>
      <c r="H59" s="31" t="str">
        <f>IFERROR(__xludf.DUMMYFUNCTION("""COMPUTED_VALUE"""),"$10M")</f>
        <v>$10M</v>
      </c>
      <c r="I59" s="33">
        <f>IFERROR(__xludf.DUMMYFUNCTION("""COMPUTED_VALUE"""),1.0E7)</f>
        <v>10000000</v>
      </c>
      <c r="K59" s="31" t="str">
        <f>IFERROR(__xludf.DUMMYFUNCTION("""COMPUTED_VALUE"""),"Series A")</f>
        <v>Series A</v>
      </c>
      <c r="L59" s="34" t="str">
        <f>IFERROR(__xludf.DUMMYFUNCTION("""COMPUTED_VALUE"""),"http://haje.pub/pdt-faye")</f>
        <v>http://haje.pub/pdt-faye</v>
      </c>
      <c r="M59" s="32" t="str">
        <f>IFERROR(__xludf.DUMMYFUNCTION("""COMPUTED_VALUE"""),"PDT Published May 26, 2023")</f>
        <v>PDT Published May 26, 2023</v>
      </c>
      <c r="N59" s="31" t="str">
        <f>IFERROR(__xludf.DUMMYFUNCTION("""COMPUTED_VALUE"""),"B2C")</f>
        <v>B2C</v>
      </c>
      <c r="O59" s="31" t="str">
        <f>IFERROR(__xludf.DUMMYFUNCTION("""COMPUTED_VALUE"""),"Insurtech")</f>
        <v>Insurtech</v>
      </c>
    </row>
    <row r="60">
      <c r="A60" s="28" t="str">
        <f t="shared" si="1"/>
        <v>Oii AI</v>
      </c>
      <c r="B60" s="29" t="str">
        <f t="shared" si="2"/>
        <v>$1.85m</v>
      </c>
      <c r="C60" s="29" t="str">
        <f t="shared" si="3"/>
        <v>Seed</v>
      </c>
      <c r="D60" s="28" t="str">
        <f t="shared" si="4"/>
        <v>Teardown of Oii AI's $1.85m Seed deck</v>
      </c>
      <c r="E60" s="30" t="str">
        <f t="shared" si="5"/>
        <v>Jun 2, 2023</v>
      </c>
      <c r="F60" s="31" t="str">
        <f>IFERROR(__xludf.DUMMYFUNCTION("""COMPUTED_VALUE"""),"Oii AI")</f>
        <v>Oii AI</v>
      </c>
      <c r="G60" s="32" t="str">
        <f>IFERROR(__xludf.DUMMYFUNCTION("""COMPUTED_VALUE"""),"https://www.oii.ai/")</f>
        <v>https://www.oii.ai/</v>
      </c>
      <c r="H60" s="31" t="str">
        <f>IFERROR(__xludf.DUMMYFUNCTION("""COMPUTED_VALUE"""),"$1.85M")</f>
        <v>$1.85M</v>
      </c>
      <c r="I60" s="33">
        <f>IFERROR(__xludf.DUMMYFUNCTION("""COMPUTED_VALUE"""),1850000.0)</f>
        <v>1850000</v>
      </c>
      <c r="K60" s="31" t="str">
        <f>IFERROR(__xludf.DUMMYFUNCTION("""COMPUTED_VALUE"""),"Seed")</f>
        <v>Seed</v>
      </c>
      <c r="L60" s="34" t="str">
        <f>IFERROR(__xludf.DUMMYFUNCTION("""COMPUTED_VALUE"""),"http://haje.pub/pdt-oii-ai")</f>
        <v>http://haje.pub/pdt-oii-ai</v>
      </c>
      <c r="M60" s="32" t="str">
        <f>IFERROR(__xludf.DUMMYFUNCTION("""COMPUTED_VALUE"""),"PDT Published Jun 2, 2023")</f>
        <v>PDT Published Jun 2, 2023</v>
      </c>
      <c r="N60" s="31" t="str">
        <f>IFERROR(__xludf.DUMMYFUNCTION("""COMPUTED_VALUE"""),"B2B")</f>
        <v>B2B</v>
      </c>
      <c r="O60" s="31" t="str">
        <f>IFERROR(__xludf.DUMMYFUNCTION("""COMPUTED_VALUE"""),"Supply Chain")</f>
        <v>Supply Chain</v>
      </c>
    </row>
    <row r="61">
      <c r="A61" s="28" t="str">
        <f t="shared" si="1"/>
        <v>CulturePulse</v>
      </c>
      <c r="B61" s="29" t="str">
        <f t="shared" si="2"/>
        <v>$1m</v>
      </c>
      <c r="C61" s="29" t="str">
        <f t="shared" si="3"/>
        <v>Seed</v>
      </c>
      <c r="D61" s="28" t="str">
        <f t="shared" si="4"/>
        <v>Teardown of CulturePulse's $1m Seed deck</v>
      </c>
      <c r="E61" s="30" t="str">
        <f t="shared" si="5"/>
        <v>Jun 9, 2023</v>
      </c>
      <c r="F61" s="31" t="str">
        <f>IFERROR(__xludf.DUMMYFUNCTION("""COMPUTED_VALUE"""),"CulturePulse")</f>
        <v>CulturePulse</v>
      </c>
      <c r="G61" s="32" t="str">
        <f>IFERROR(__xludf.DUMMYFUNCTION("""COMPUTED_VALUE"""),"www.culturepulse.ai")</f>
        <v>www.culturepulse.ai</v>
      </c>
      <c r="H61" s="31" t="str">
        <f>IFERROR(__xludf.DUMMYFUNCTION("""COMPUTED_VALUE"""),"$1M")</f>
        <v>$1M</v>
      </c>
      <c r="I61" s="33">
        <f>IFERROR(__xludf.DUMMYFUNCTION("""COMPUTED_VALUE"""),1000000.0)</f>
        <v>1000000</v>
      </c>
      <c r="K61" s="31" t="str">
        <f>IFERROR(__xludf.DUMMYFUNCTION("""COMPUTED_VALUE"""),"Seed")</f>
        <v>Seed</v>
      </c>
      <c r="L61" s="34" t="str">
        <f>IFERROR(__xludf.DUMMYFUNCTION("""COMPUTED_VALUE"""),"http://haje.pub/pdt-culturepulse")</f>
        <v>http://haje.pub/pdt-culturepulse</v>
      </c>
      <c r="M61" s="32" t="str">
        <f>IFERROR(__xludf.DUMMYFUNCTION("""COMPUTED_VALUE"""),"PDT Published Jun 9, 2023")</f>
        <v>PDT Published Jun 9, 2023</v>
      </c>
      <c r="N61" s="31" t="str">
        <f>IFERROR(__xludf.DUMMYFUNCTION("""COMPUTED_VALUE"""),"B2B")</f>
        <v>B2B</v>
      </c>
      <c r="O61" s="31" t="str">
        <f>IFERROR(__xludf.DUMMYFUNCTION("""COMPUTED_VALUE"""),"Analytics")</f>
        <v>Analytics</v>
      </c>
    </row>
    <row r="62">
      <c r="A62" s="28" t="str">
        <f t="shared" si="1"/>
        <v>Netmaker</v>
      </c>
      <c r="B62" s="29" t="str">
        <f t="shared" si="2"/>
        <v>$2.3m</v>
      </c>
      <c r="C62" s="29" t="str">
        <f t="shared" si="3"/>
        <v>Seed</v>
      </c>
      <c r="D62" s="28" t="str">
        <f t="shared" si="4"/>
        <v>Teardown of Netmaker's $2.3m Seed deck</v>
      </c>
      <c r="E62" s="30" t="str">
        <f t="shared" si="5"/>
        <v>Jun 16, 2023</v>
      </c>
      <c r="F62" s="31" t="str">
        <f>IFERROR(__xludf.DUMMYFUNCTION("""COMPUTED_VALUE"""),"Netmaker")</f>
        <v>Netmaker</v>
      </c>
      <c r="G62" s="32" t="str">
        <f>IFERROR(__xludf.DUMMYFUNCTION("""COMPUTED_VALUE"""),"netmaker.io")</f>
        <v>netmaker.io</v>
      </c>
      <c r="H62" s="31" t="str">
        <f>IFERROR(__xludf.DUMMYFUNCTION("""COMPUTED_VALUE"""),"$2.3M")</f>
        <v>$2.3M</v>
      </c>
      <c r="I62" s="33">
        <f>IFERROR(__xludf.DUMMYFUNCTION("""COMPUTED_VALUE"""),2300000.0)</f>
        <v>2300000</v>
      </c>
      <c r="K62" s="31" t="str">
        <f>IFERROR(__xludf.DUMMYFUNCTION("""COMPUTED_VALUE"""),"Seed")</f>
        <v>Seed</v>
      </c>
      <c r="L62" s="34" t="str">
        <f>IFERROR(__xludf.DUMMYFUNCTION("""COMPUTED_VALUE"""),"http://haje.pub/pdt-netmaker")</f>
        <v>http://haje.pub/pdt-netmaker</v>
      </c>
      <c r="M62" s="32" t="str">
        <f>IFERROR(__xludf.DUMMYFUNCTION("""COMPUTED_VALUE"""),"PDT Published Jun 16, 2023")</f>
        <v>PDT Published Jun 16, 2023</v>
      </c>
      <c r="N62" s="31" t="str">
        <f>IFERROR(__xludf.DUMMYFUNCTION("""COMPUTED_VALUE"""),"B2B")</f>
        <v>B2B</v>
      </c>
      <c r="O62" s="31" t="str">
        <f>IFERROR(__xludf.DUMMYFUNCTION("""COMPUTED_VALUE"""),"Networking")</f>
        <v>Networking</v>
      </c>
    </row>
    <row r="63">
      <c r="A63" s="28" t="str">
        <f t="shared" si="1"/>
        <v>Super </v>
      </c>
      <c r="B63" s="29" t="str">
        <f t="shared" si="2"/>
        <v>$60m</v>
      </c>
      <c r="C63" s="29" t="str">
        <f t="shared" si="3"/>
        <v>Series C</v>
      </c>
      <c r="D63" s="28" t="str">
        <f t="shared" si="4"/>
        <v>Teardown of Super 's $60m Series C deck</v>
      </c>
      <c r="E63" s="30" t="str">
        <f t="shared" si="5"/>
        <v>Jun 30, 2023</v>
      </c>
      <c r="F63" s="31" t="str">
        <f>IFERROR(__xludf.DUMMYFUNCTION("""COMPUTED_VALUE"""),"Super ")</f>
        <v>Super </v>
      </c>
      <c r="G63" s="32" t="str">
        <f>IFERROR(__xludf.DUMMYFUNCTION("""COMPUTED_VALUE"""),"http://super.com")</f>
        <v>http://super.com</v>
      </c>
      <c r="H63" s="31" t="str">
        <f>IFERROR(__xludf.DUMMYFUNCTION("""COMPUTED_VALUE"""),"$60M")</f>
        <v>$60M</v>
      </c>
      <c r="I63" s="33">
        <f>IFERROR(__xludf.DUMMYFUNCTION("""COMPUTED_VALUE"""),6.0E7)</f>
        <v>60000000</v>
      </c>
      <c r="K63" s="31" t="str">
        <f>IFERROR(__xludf.DUMMYFUNCTION("""COMPUTED_VALUE"""),"Series C")</f>
        <v>Series C</v>
      </c>
      <c r="L63" s="34" t="str">
        <f>IFERROR(__xludf.DUMMYFUNCTION("""COMPUTED_VALUE"""),"http://haje.pub/pdt-super")</f>
        <v>http://haje.pub/pdt-super</v>
      </c>
      <c r="M63" s="32" t="str">
        <f>IFERROR(__xludf.DUMMYFUNCTION("""COMPUTED_VALUE"""),"PDT Published Jun 30, 2023")</f>
        <v>PDT Published Jun 30, 2023</v>
      </c>
      <c r="N63" s="31" t="str">
        <f>IFERROR(__xludf.DUMMYFUNCTION("""COMPUTED_VALUE"""),"B2C")</f>
        <v>B2C</v>
      </c>
      <c r="O63" s="31" t="str">
        <f>IFERROR(__xludf.DUMMYFUNCTION("""COMPUTED_VALUE"""),"FinTech")</f>
        <v>FinTech</v>
      </c>
    </row>
    <row r="64">
      <c r="A64" s="28" t="str">
        <f t="shared" si="1"/>
        <v>Nokod Security</v>
      </c>
      <c r="B64" s="29" t="str">
        <f t="shared" si="2"/>
        <v>$8m</v>
      </c>
      <c r="C64" s="29" t="str">
        <f t="shared" si="3"/>
        <v>Seed</v>
      </c>
      <c r="D64" s="28" t="str">
        <f t="shared" si="4"/>
        <v>Teardown of Nokod Security's $8m Seed deck</v>
      </c>
      <c r="E64" s="30" t="str">
        <f t="shared" si="5"/>
        <v>July 7, 2023</v>
      </c>
      <c r="F64" s="31" t="str">
        <f>IFERROR(__xludf.DUMMYFUNCTION("""COMPUTED_VALUE"""),"Nokod Security")</f>
        <v>Nokod Security</v>
      </c>
      <c r="G64" s="32" t="str">
        <f>IFERROR(__xludf.DUMMYFUNCTION("""COMPUTED_VALUE"""),"https://nokodsecurity.com/")</f>
        <v>https://nokodsecurity.com/</v>
      </c>
      <c r="H64" s="31" t="str">
        <f>IFERROR(__xludf.DUMMYFUNCTION("""COMPUTED_VALUE"""),"$8M")</f>
        <v>$8M</v>
      </c>
      <c r="I64" s="33">
        <f>IFERROR(__xludf.DUMMYFUNCTION("""COMPUTED_VALUE"""),8000000.0)</f>
        <v>8000000</v>
      </c>
      <c r="K64" s="31" t="str">
        <f>IFERROR(__xludf.DUMMYFUNCTION("""COMPUTED_VALUE"""),"Seed")</f>
        <v>Seed</v>
      </c>
      <c r="L64" s="34" t="str">
        <f>IFERROR(__xludf.DUMMYFUNCTION("""COMPUTED_VALUE"""),"http://haje.pub/pdt-nokod-security")</f>
        <v>http://haje.pub/pdt-nokod-security</v>
      </c>
      <c r="M64" s="32" t="str">
        <f>IFERROR(__xludf.DUMMYFUNCTION("""COMPUTED_VALUE"""),"PDT Published July 7, 2023")</f>
        <v>PDT Published July 7, 2023</v>
      </c>
      <c r="N64" s="31" t="str">
        <f>IFERROR(__xludf.DUMMYFUNCTION("""COMPUTED_VALUE"""),"B2B")</f>
        <v>B2B</v>
      </c>
      <c r="O64" s="31" t="str">
        <f>IFERROR(__xludf.DUMMYFUNCTION("""COMPUTED_VALUE"""),"Cybersecurity")</f>
        <v>Cybersecurity</v>
      </c>
    </row>
    <row r="65">
      <c r="A65" s="28" t="str">
        <f t="shared" si="1"/>
        <v>GoodBuy Gear</v>
      </c>
      <c r="B65" s="29" t="str">
        <f t="shared" si="2"/>
        <v>$5m</v>
      </c>
      <c r="C65" s="29" t="str">
        <f t="shared" si="3"/>
        <v>Series A Extension</v>
      </c>
      <c r="D65" s="28" t="str">
        <f t="shared" si="4"/>
        <v>Teardown of GoodBuy Gear's $5m Series A Extension deck</v>
      </c>
      <c r="E65" s="30" t="str">
        <f t="shared" si="5"/>
        <v>July 14, 2023</v>
      </c>
      <c r="F65" s="31" t="str">
        <f>IFERROR(__xludf.DUMMYFUNCTION("""COMPUTED_VALUE"""),"GoodBuy Gear")</f>
        <v>GoodBuy Gear</v>
      </c>
      <c r="G65" s="32" t="str">
        <f>IFERROR(__xludf.DUMMYFUNCTION("""COMPUTED_VALUE"""),"https://goodbuygear.com/")</f>
        <v>https://goodbuygear.com/</v>
      </c>
      <c r="H65" s="31" t="str">
        <f>IFERROR(__xludf.DUMMYFUNCTION("""COMPUTED_VALUE"""),"$5M")</f>
        <v>$5M</v>
      </c>
      <c r="I65" s="33">
        <f>IFERROR(__xludf.DUMMYFUNCTION("""COMPUTED_VALUE"""),5000000.0)</f>
        <v>5000000</v>
      </c>
      <c r="K65" s="31" t="str">
        <f>IFERROR(__xludf.DUMMYFUNCTION("""COMPUTED_VALUE"""),"Series A Extension")</f>
        <v>Series A Extension</v>
      </c>
      <c r="L65" s="34" t="str">
        <f>IFERROR(__xludf.DUMMYFUNCTION("""COMPUTED_VALUE"""),"http://haje.pub/pdt-goodbuy-gear")</f>
        <v>http://haje.pub/pdt-goodbuy-gear</v>
      </c>
      <c r="M65" s="32" t="str">
        <f>IFERROR(__xludf.DUMMYFUNCTION("""COMPUTED_VALUE"""),"PDT Published July 14, 2023")</f>
        <v>PDT Published July 14, 2023</v>
      </c>
      <c r="N65" s="31" t="str">
        <f>IFERROR(__xludf.DUMMYFUNCTION("""COMPUTED_VALUE"""),"B2C")</f>
        <v>B2C</v>
      </c>
      <c r="O65" s="31" t="str">
        <f>IFERROR(__xludf.DUMMYFUNCTION("""COMPUTED_VALUE"""),"Ecommerce")</f>
        <v>Ecommerce</v>
      </c>
    </row>
    <row r="66">
      <c r="A66" s="28" t="str">
        <f t="shared" si="1"/>
        <v>CleanHub</v>
      </c>
      <c r="B66" s="29" t="str">
        <f t="shared" si="2"/>
        <v>$7m</v>
      </c>
      <c r="C66" s="29" t="str">
        <f t="shared" si="3"/>
        <v>Seed</v>
      </c>
      <c r="D66" s="28" t="str">
        <f t="shared" si="4"/>
        <v>Teardown of CleanHub's $7m Seed deck</v>
      </c>
      <c r="E66" s="30" t="str">
        <f t="shared" si="5"/>
        <v>July 21, 2023</v>
      </c>
      <c r="F66" s="31" t="str">
        <f>IFERROR(__xludf.DUMMYFUNCTION("""COMPUTED_VALUE"""),"CleanHub")</f>
        <v>CleanHub</v>
      </c>
      <c r="G66" s="32" t="str">
        <f>IFERROR(__xludf.DUMMYFUNCTION("""COMPUTED_VALUE"""),"https://www.cleanhub.com/")</f>
        <v>https://www.cleanhub.com/</v>
      </c>
      <c r="H66" s="31" t="str">
        <f>IFERROR(__xludf.DUMMYFUNCTION("""COMPUTED_VALUE"""),"$7M")</f>
        <v>$7M</v>
      </c>
      <c r="I66" s="33">
        <f>IFERROR(__xludf.DUMMYFUNCTION("""COMPUTED_VALUE"""),7000000.0)</f>
        <v>7000000</v>
      </c>
      <c r="K66" s="31" t="str">
        <f>IFERROR(__xludf.DUMMYFUNCTION("""COMPUTED_VALUE"""),"Seed")</f>
        <v>Seed</v>
      </c>
      <c r="L66" s="34" t="str">
        <f>IFERROR(__xludf.DUMMYFUNCTION("""COMPUTED_VALUE"""),"http://haje.pub/pdt-cleanhub")</f>
        <v>http://haje.pub/pdt-cleanhub</v>
      </c>
      <c r="M66" s="32" t="str">
        <f>IFERROR(__xludf.DUMMYFUNCTION("""COMPUTED_VALUE"""),"PDT Published July 21, 2023")</f>
        <v>PDT Published July 21, 2023</v>
      </c>
      <c r="N66" s="31" t="str">
        <f>IFERROR(__xludf.DUMMYFUNCTION("""COMPUTED_VALUE"""),"B2B")</f>
        <v>B2B</v>
      </c>
      <c r="O66" s="31" t="str">
        <f>IFERROR(__xludf.DUMMYFUNCTION("""COMPUTED_VALUE"""),"Recycling")</f>
        <v>Recycling</v>
      </c>
    </row>
    <row r="67">
      <c r="A67" s="28" t="str">
        <f t="shared" si="1"/>
        <v>Unito</v>
      </c>
      <c r="B67" s="29" t="str">
        <f t="shared" si="2"/>
        <v>$20m</v>
      </c>
      <c r="C67" s="29" t="str">
        <f t="shared" si="3"/>
        <v>Series B</v>
      </c>
      <c r="D67" s="28" t="str">
        <f t="shared" si="4"/>
        <v>Teardown of Unito's $20m Series B deck</v>
      </c>
      <c r="E67" s="30" t="str">
        <f t="shared" si="5"/>
        <v>July 28, 2023</v>
      </c>
      <c r="F67" s="31" t="str">
        <f>IFERROR(__xludf.DUMMYFUNCTION("""COMPUTED_VALUE"""),"Unito")</f>
        <v>Unito</v>
      </c>
      <c r="G67" s="32" t="str">
        <f>IFERROR(__xludf.DUMMYFUNCTION("""COMPUTED_VALUE"""),"https://unito.io/")</f>
        <v>https://unito.io/</v>
      </c>
      <c r="H67" s="31" t="str">
        <f>IFERROR(__xludf.DUMMYFUNCTION("""COMPUTED_VALUE"""),"$20M")</f>
        <v>$20M</v>
      </c>
      <c r="I67" s="33">
        <f>IFERROR(__xludf.DUMMYFUNCTION("""COMPUTED_VALUE"""),2.0E7)</f>
        <v>20000000</v>
      </c>
      <c r="K67" s="31" t="str">
        <f>IFERROR(__xludf.DUMMYFUNCTION("""COMPUTED_VALUE"""),"Series B")</f>
        <v>Series B</v>
      </c>
      <c r="L67" s="34" t="str">
        <f>IFERROR(__xludf.DUMMYFUNCTION("""COMPUTED_VALUE"""),"http://haje.pub/pdt-unito")</f>
        <v>http://haje.pub/pdt-unito</v>
      </c>
      <c r="M67" s="32" t="str">
        <f>IFERROR(__xludf.DUMMYFUNCTION("""COMPUTED_VALUE"""),"PDT Published July 28, 2023")</f>
        <v>PDT Published July 28, 2023</v>
      </c>
      <c r="N67" s="31" t="str">
        <f>IFERROR(__xludf.DUMMYFUNCTION("""COMPUTED_VALUE"""),"B2B")</f>
        <v>B2B</v>
      </c>
      <c r="O67" s="31" t="str">
        <f>IFERROR(__xludf.DUMMYFUNCTION("""COMPUTED_VALUE"""),"DevOps")</f>
        <v>DevOps</v>
      </c>
    </row>
    <row r="68">
      <c r="A68" s="28" t="str">
        <f t="shared" si="1"/>
        <v>SquadTrip</v>
      </c>
      <c r="B68" s="29" t="str">
        <f t="shared" si="2"/>
        <v>$1.5m</v>
      </c>
      <c r="C68" s="29" t="str">
        <f t="shared" si="3"/>
        <v>Pre-seed</v>
      </c>
      <c r="D68" s="28" t="str">
        <f t="shared" si="4"/>
        <v>Teardown of SquadTrip's $1.5m Pre-seed deck</v>
      </c>
      <c r="E68" s="30" t="str">
        <f t="shared" si="5"/>
        <v>Aug 4, 2023</v>
      </c>
      <c r="F68" s="31" t="str">
        <f>IFERROR(__xludf.DUMMYFUNCTION("""COMPUTED_VALUE"""),"SquadTrip")</f>
        <v>SquadTrip</v>
      </c>
      <c r="G68" s="32" t="str">
        <f>IFERROR(__xludf.DUMMYFUNCTION("""COMPUTED_VALUE"""),"https://squadtrip.com/")</f>
        <v>https://squadtrip.com/</v>
      </c>
      <c r="H68" s="31" t="str">
        <f>IFERROR(__xludf.DUMMYFUNCTION("""COMPUTED_VALUE"""),"$1.5M")</f>
        <v>$1.5M</v>
      </c>
      <c r="I68" s="33">
        <f>IFERROR(__xludf.DUMMYFUNCTION("""COMPUTED_VALUE"""),1500000.0)</f>
        <v>1500000</v>
      </c>
      <c r="K68" s="31" t="str">
        <f>IFERROR(__xludf.DUMMYFUNCTION("""COMPUTED_VALUE"""),"Pre-seed")</f>
        <v>Pre-seed</v>
      </c>
      <c r="L68" s="34" t="str">
        <f>IFERROR(__xludf.DUMMYFUNCTION("""COMPUTED_VALUE"""),"http://haje.pub/pdt-squadtrip")</f>
        <v>http://haje.pub/pdt-squadtrip</v>
      </c>
      <c r="M68" s="32" t="str">
        <f>IFERROR(__xludf.DUMMYFUNCTION("""COMPUTED_VALUE"""),"PDT Published Aug 4, 2023")</f>
        <v>PDT Published Aug 4, 2023</v>
      </c>
      <c r="N68" s="31" t="str">
        <f>IFERROR(__xludf.DUMMYFUNCTION("""COMPUTED_VALUE"""),"B2B")</f>
        <v>B2B</v>
      </c>
      <c r="O68" s="31" t="str">
        <f>IFERROR(__xludf.DUMMYFUNCTION("""COMPUTED_VALUE"""),"Travel")</f>
        <v>Travel</v>
      </c>
    </row>
    <row r="69">
      <c r="A69" s="28" t="str">
        <f t="shared" si="1"/>
        <v>ANYbotics AG</v>
      </c>
      <c r="B69" s="29" t="str">
        <f t="shared" si="2"/>
        <v>$50m</v>
      </c>
      <c r="C69" s="29" t="str">
        <f t="shared" si="3"/>
        <v>Series B</v>
      </c>
      <c r="D69" s="28" t="str">
        <f t="shared" si="4"/>
        <v>Teardown of ANYbotics AG's $50m Series B deck</v>
      </c>
      <c r="E69" s="30" t="str">
        <f t="shared" si="5"/>
        <v>Aug 11, 2023</v>
      </c>
      <c r="F69" s="31" t="str">
        <f>IFERROR(__xludf.DUMMYFUNCTION("""COMPUTED_VALUE"""),"ANYbotics AG")</f>
        <v>ANYbotics AG</v>
      </c>
      <c r="G69" s="32" t="str">
        <f>IFERROR(__xludf.DUMMYFUNCTION("""COMPUTED_VALUE"""),"www.anybotics.com")</f>
        <v>www.anybotics.com</v>
      </c>
      <c r="H69" s="31" t="str">
        <f>IFERROR(__xludf.DUMMYFUNCTION("""COMPUTED_VALUE"""),"$50M")</f>
        <v>$50M</v>
      </c>
      <c r="I69" s="33">
        <f>IFERROR(__xludf.DUMMYFUNCTION("""COMPUTED_VALUE"""),5.0E7)</f>
        <v>50000000</v>
      </c>
      <c r="K69" s="31" t="str">
        <f>IFERROR(__xludf.DUMMYFUNCTION("""COMPUTED_VALUE"""),"Series B")</f>
        <v>Series B</v>
      </c>
      <c r="L69" s="34" t="str">
        <f>IFERROR(__xludf.DUMMYFUNCTION("""COMPUTED_VALUE"""),"http://haje.pub/pdt-anybotics-ag")</f>
        <v>http://haje.pub/pdt-anybotics-ag</v>
      </c>
      <c r="M69" s="32" t="str">
        <f>IFERROR(__xludf.DUMMYFUNCTION("""COMPUTED_VALUE"""),"PDT Published Aug 11, 2023")</f>
        <v>PDT Published Aug 11, 2023</v>
      </c>
      <c r="N69" s="31" t="str">
        <f>IFERROR(__xludf.DUMMYFUNCTION("""COMPUTED_VALUE"""),"B2B")</f>
        <v>B2B</v>
      </c>
      <c r="O69" s="31" t="str">
        <f>IFERROR(__xludf.DUMMYFUNCTION("""COMPUTED_VALUE"""),"Robotics")</f>
        <v>Robotics</v>
      </c>
    </row>
    <row r="70">
      <c r="A70" s="28" t="str">
        <f t="shared" si="1"/>
        <v>DeckMatch</v>
      </c>
      <c r="B70" s="29" t="str">
        <f t="shared" si="2"/>
        <v>$1m</v>
      </c>
      <c r="C70" s="29" t="str">
        <f t="shared" si="3"/>
        <v>Seed</v>
      </c>
      <c r="D70" s="28" t="str">
        <f t="shared" si="4"/>
        <v>Teardown of DeckMatch's $1m Seed deck</v>
      </c>
      <c r="E70" s="30" t="str">
        <f t="shared" si="5"/>
        <v>Aug 18, 2023</v>
      </c>
      <c r="F70" s="31" t="str">
        <f>IFERROR(__xludf.DUMMYFUNCTION("""COMPUTED_VALUE"""),"DeckMatch")</f>
        <v>DeckMatch</v>
      </c>
      <c r="G70" s="32" t="str">
        <f>IFERROR(__xludf.DUMMYFUNCTION("""COMPUTED_VALUE"""),"https://www.deckmatch.com/old-home")</f>
        <v>https://www.deckmatch.com/old-home</v>
      </c>
      <c r="H70" s="31" t="str">
        <f>IFERROR(__xludf.DUMMYFUNCTION("""COMPUTED_VALUE"""),"$1M")</f>
        <v>$1M</v>
      </c>
      <c r="I70" s="33">
        <f>IFERROR(__xludf.DUMMYFUNCTION("""COMPUTED_VALUE"""),1000000.0)</f>
        <v>1000000</v>
      </c>
      <c r="K70" s="31" t="str">
        <f>IFERROR(__xludf.DUMMYFUNCTION("""COMPUTED_VALUE"""),"Seed")</f>
        <v>Seed</v>
      </c>
      <c r="L70" s="34" t="str">
        <f>IFERROR(__xludf.DUMMYFUNCTION("""COMPUTED_VALUE"""),"http://haje.pub/pdt-deckmatch")</f>
        <v>http://haje.pub/pdt-deckmatch</v>
      </c>
      <c r="M70" s="32" t="str">
        <f>IFERROR(__xludf.DUMMYFUNCTION("""COMPUTED_VALUE"""),"PDT Published Aug 18, 2023")</f>
        <v>PDT Published Aug 18, 2023</v>
      </c>
      <c r="N70" s="31" t="str">
        <f>IFERROR(__xludf.DUMMYFUNCTION("""COMPUTED_VALUE"""),"B2B")</f>
        <v>B2B</v>
      </c>
      <c r="O70" s="31" t="str">
        <f>IFERROR(__xludf.DUMMYFUNCTION("""COMPUTED_VALUE"""),"CRM")</f>
        <v>CRM</v>
      </c>
    </row>
    <row r="71">
      <c r="A71" s="28" t="str">
        <f t="shared" si="1"/>
        <v>BusRight</v>
      </c>
      <c r="B71" s="29" t="str">
        <f t="shared" si="2"/>
        <v>$7m</v>
      </c>
      <c r="C71" s="29" t="str">
        <f t="shared" si="3"/>
        <v>Series A</v>
      </c>
      <c r="D71" s="28" t="str">
        <f t="shared" si="4"/>
        <v>Teardown of BusRight's $7m Series A deck</v>
      </c>
      <c r="E71" s="30" t="str">
        <f t="shared" si="5"/>
        <v>Aug 25, 2023</v>
      </c>
      <c r="F71" s="31" t="str">
        <f>IFERROR(__xludf.DUMMYFUNCTION("""COMPUTED_VALUE"""),"BusRight")</f>
        <v>BusRight</v>
      </c>
      <c r="G71" s="32" t="str">
        <f>IFERROR(__xludf.DUMMYFUNCTION("""COMPUTED_VALUE"""),"https://busright.com/")</f>
        <v>https://busright.com/</v>
      </c>
      <c r="H71" s="31" t="str">
        <f>IFERROR(__xludf.DUMMYFUNCTION("""COMPUTED_VALUE"""),"$7M")</f>
        <v>$7M</v>
      </c>
      <c r="I71" s="33">
        <f>IFERROR(__xludf.DUMMYFUNCTION("""COMPUTED_VALUE"""),7000000.0)</f>
        <v>7000000</v>
      </c>
      <c r="K71" s="31" t="str">
        <f>IFERROR(__xludf.DUMMYFUNCTION("""COMPUTED_VALUE"""),"Series A")</f>
        <v>Series A</v>
      </c>
      <c r="L71" s="34" t="str">
        <f>IFERROR(__xludf.DUMMYFUNCTION("""COMPUTED_VALUE"""),"http://haje.pub/pdt-busright")</f>
        <v>http://haje.pub/pdt-busright</v>
      </c>
      <c r="M71" s="32" t="str">
        <f>IFERROR(__xludf.DUMMYFUNCTION("""COMPUTED_VALUE"""),"PDT Published Aug 25, 2023")</f>
        <v>PDT Published Aug 25, 2023</v>
      </c>
      <c r="N71" s="31" t="str">
        <f>IFERROR(__xludf.DUMMYFUNCTION("""COMPUTED_VALUE"""),"B2B")</f>
        <v>B2B</v>
      </c>
      <c r="O71" s="31" t="str">
        <f>IFERROR(__xludf.DUMMYFUNCTION("""COMPUTED_VALUE"""),"EdTech")</f>
        <v>EdTech</v>
      </c>
    </row>
    <row r="72">
      <c r="A72" s="28" t="str">
        <f t="shared" si="1"/>
        <v>Tanbii</v>
      </c>
      <c r="B72" s="29" t="str">
        <f t="shared" si="2"/>
        <v>$1.5m</v>
      </c>
      <c r="C72" s="29" t="str">
        <f t="shared" si="3"/>
        <v>Pre-seed</v>
      </c>
      <c r="D72" s="28" t="str">
        <f t="shared" si="4"/>
        <v>Teardown of Tanbii's $1.5m Pre-seed deck</v>
      </c>
      <c r="E72" s="30" t="str">
        <f t="shared" si="5"/>
        <v>Sep 1, 2023</v>
      </c>
      <c r="F72" s="31" t="str">
        <f>IFERROR(__xludf.DUMMYFUNCTION("""COMPUTED_VALUE"""),"Tanbii")</f>
        <v>Tanbii</v>
      </c>
      <c r="G72" s="32" t="str">
        <f>IFERROR(__xludf.DUMMYFUNCTION("""COMPUTED_VALUE"""),"www.tanbii.com")</f>
        <v>www.tanbii.com</v>
      </c>
      <c r="H72" s="31" t="str">
        <f>IFERROR(__xludf.DUMMYFUNCTION("""COMPUTED_VALUE"""),"$1.5M")</f>
        <v>$1.5M</v>
      </c>
      <c r="I72" s="33">
        <f>IFERROR(__xludf.DUMMYFUNCTION("""COMPUTED_VALUE"""),1500000.0)</f>
        <v>1500000</v>
      </c>
      <c r="K72" s="31" t="str">
        <f>IFERROR(__xludf.DUMMYFUNCTION("""COMPUTED_VALUE"""),"Pre-seed")</f>
        <v>Pre-seed</v>
      </c>
      <c r="L72" s="34" t="str">
        <f>IFERROR(__xludf.DUMMYFUNCTION("""COMPUTED_VALUE"""),"http://haje.pub/pdt-tanbii")</f>
        <v>http://haje.pub/pdt-tanbii</v>
      </c>
      <c r="M72" s="32" t="str">
        <f>IFERROR(__xludf.DUMMYFUNCTION("""COMPUTED_VALUE"""),"PDT Published Sep 1, 2023")</f>
        <v>PDT Published Sep 1, 2023</v>
      </c>
      <c r="N72" s="31" t="str">
        <f>IFERROR(__xludf.DUMMYFUNCTION("""COMPUTED_VALUE"""),"B2C")</f>
        <v>B2C</v>
      </c>
      <c r="O72" s="31" t="str">
        <f>IFERROR(__xludf.DUMMYFUNCTION("""COMPUTED_VALUE"""),"Sustainability")</f>
        <v>Sustainability</v>
      </c>
    </row>
    <row r="73">
      <c r="A73" s="28" t="str">
        <f t="shared" si="1"/>
        <v>Tomorrow University of Applied Sciences</v>
      </c>
      <c r="B73" s="29" t="str">
        <f t="shared" si="2"/>
        <v>$10m</v>
      </c>
      <c r="C73" s="29" t="str">
        <f t="shared" si="3"/>
        <v>Series A</v>
      </c>
      <c r="D73" s="28" t="str">
        <f t="shared" si="4"/>
        <v>Teardown of Tomorrow University of Applied Sciences's $10m Series A deck</v>
      </c>
      <c r="E73" s="30" t="str">
        <f t="shared" si="5"/>
        <v>Sep 8, 2023</v>
      </c>
      <c r="F73" s="31" t="str">
        <f>IFERROR(__xludf.DUMMYFUNCTION("""COMPUTED_VALUE"""),"Tomorrow University of Applied Sciences")</f>
        <v>Tomorrow University of Applied Sciences</v>
      </c>
      <c r="G73" s="32" t="str">
        <f>IFERROR(__xludf.DUMMYFUNCTION("""COMPUTED_VALUE"""),"https://www.tomorrow.university/")</f>
        <v>https://www.tomorrow.university/</v>
      </c>
      <c r="H73" s="31" t="str">
        <f>IFERROR(__xludf.DUMMYFUNCTION("""COMPUTED_VALUE"""),"$10M")</f>
        <v>$10M</v>
      </c>
      <c r="I73" s="33">
        <f>IFERROR(__xludf.DUMMYFUNCTION("""COMPUTED_VALUE"""),1.0E7)</f>
        <v>10000000</v>
      </c>
      <c r="K73" s="31" t="str">
        <f>IFERROR(__xludf.DUMMYFUNCTION("""COMPUTED_VALUE"""),"Series A")</f>
        <v>Series A</v>
      </c>
      <c r="L73" s="34" t="str">
        <f>IFERROR(__xludf.DUMMYFUNCTION("""COMPUTED_VALUE"""),"http://haje.pub/pdt-tomorrow-university-of-applied-sciences")</f>
        <v>http://haje.pub/pdt-tomorrow-university-of-applied-sciences</v>
      </c>
      <c r="M73" s="32" t="str">
        <f>IFERROR(__xludf.DUMMYFUNCTION("""COMPUTED_VALUE"""),"PDT Published Sep 8, 2023")</f>
        <v>PDT Published Sep 8, 2023</v>
      </c>
      <c r="N73" s="31" t="str">
        <f>IFERROR(__xludf.DUMMYFUNCTION("""COMPUTED_VALUE"""),"B2C")</f>
        <v>B2C</v>
      </c>
      <c r="O73" s="31" t="str">
        <f>IFERROR(__xludf.DUMMYFUNCTION("""COMPUTED_VALUE"""),"EdTech")</f>
        <v>EdTech</v>
      </c>
    </row>
    <row r="74">
      <c r="A74" s="28" t="str">
        <f t="shared" si="1"/>
        <v>Learn XYZ</v>
      </c>
      <c r="B74" s="29" t="str">
        <f t="shared" si="2"/>
        <v>$3m</v>
      </c>
      <c r="C74" s="29" t="str">
        <f t="shared" si="3"/>
        <v>Seed</v>
      </c>
      <c r="D74" s="28" t="str">
        <f t="shared" si="4"/>
        <v>Teardown of Learn XYZ's $3m Seed deck</v>
      </c>
      <c r="E74" s="30" t="str">
        <f t="shared" si="5"/>
        <v>Sep 15, 2023</v>
      </c>
      <c r="F74" s="31" t="str">
        <f>IFERROR(__xludf.DUMMYFUNCTION("""COMPUTED_VALUE"""),"Learn XYZ")</f>
        <v>Learn XYZ</v>
      </c>
      <c r="G74" s="32" t="str">
        <f>IFERROR(__xludf.DUMMYFUNCTION("""COMPUTED_VALUE"""),"www.learn.xyz")</f>
        <v>www.learn.xyz</v>
      </c>
      <c r="H74" s="31" t="str">
        <f>IFERROR(__xludf.DUMMYFUNCTION("""COMPUTED_VALUE"""),"$3M")</f>
        <v>$3M</v>
      </c>
      <c r="I74" s="33">
        <f>IFERROR(__xludf.DUMMYFUNCTION("""COMPUTED_VALUE"""),3000000.0)</f>
        <v>3000000</v>
      </c>
      <c r="K74" s="31" t="str">
        <f>IFERROR(__xludf.DUMMYFUNCTION("""COMPUTED_VALUE"""),"Seed")</f>
        <v>Seed</v>
      </c>
      <c r="L74" s="34" t="str">
        <f>IFERROR(__xludf.DUMMYFUNCTION("""COMPUTED_VALUE"""),"http://haje.pub/pdt-learn-xyz")</f>
        <v>http://haje.pub/pdt-learn-xyz</v>
      </c>
      <c r="M74" s="32" t="str">
        <f>IFERROR(__xludf.DUMMYFUNCTION("""COMPUTED_VALUE"""),"PDT Published Sep 15, 2023")</f>
        <v>PDT Published Sep 15, 2023</v>
      </c>
      <c r="N74" s="31" t="str">
        <f>IFERROR(__xludf.DUMMYFUNCTION("""COMPUTED_VALUE"""),"B2B")</f>
        <v>B2B</v>
      </c>
      <c r="O74" s="31" t="str">
        <f>IFERROR(__xludf.DUMMYFUNCTION("""COMPUTED_VALUE"""),"EdTech")</f>
        <v>EdTech</v>
      </c>
    </row>
    <row r="75">
      <c r="A75" s="28" t="str">
        <f t="shared" si="1"/>
        <v>Transcend</v>
      </c>
      <c r="B75" s="29" t="str">
        <f t="shared" si="2"/>
        <v>$20m</v>
      </c>
      <c r="C75" s="29" t="str">
        <f t="shared" si="3"/>
        <v>Series B</v>
      </c>
      <c r="D75" s="28" t="str">
        <f t="shared" si="4"/>
        <v>Teardown of Transcend's $20m Series B deck</v>
      </c>
      <c r="E75" s="30" t="str">
        <f t="shared" si="5"/>
        <v>Sep 22, 2023</v>
      </c>
      <c r="F75" s="31" t="str">
        <f>IFERROR(__xludf.DUMMYFUNCTION("""COMPUTED_VALUE"""),"Transcend")</f>
        <v>Transcend</v>
      </c>
      <c r="G75" s="32" t="str">
        <f>IFERROR(__xludf.DUMMYFUNCTION("""COMPUTED_VALUE"""),"https://transcendinfra.com/")</f>
        <v>https://transcendinfra.com/</v>
      </c>
      <c r="H75" s="31" t="str">
        <f>IFERROR(__xludf.DUMMYFUNCTION("""COMPUTED_VALUE"""),"$20M")</f>
        <v>$20M</v>
      </c>
      <c r="I75" s="33">
        <f>IFERROR(__xludf.DUMMYFUNCTION("""COMPUTED_VALUE"""),2.0E7)</f>
        <v>20000000</v>
      </c>
      <c r="K75" s="31" t="str">
        <f>IFERROR(__xludf.DUMMYFUNCTION("""COMPUTED_VALUE"""),"Series B")</f>
        <v>Series B</v>
      </c>
      <c r="L75" s="34" t="str">
        <f>IFERROR(__xludf.DUMMYFUNCTION("""COMPUTED_VALUE"""),"http://haje.pub/pdt-transcend")</f>
        <v>http://haje.pub/pdt-transcend</v>
      </c>
      <c r="M75" s="32" t="str">
        <f>IFERROR(__xludf.DUMMYFUNCTION("""COMPUTED_VALUE"""),"PDT Published Sep 22, 2023")</f>
        <v>PDT Published Sep 22, 2023</v>
      </c>
      <c r="N75" s="31" t="str">
        <f>IFERROR(__xludf.DUMMYFUNCTION("""COMPUTED_VALUE"""),"B2B")</f>
        <v>B2B</v>
      </c>
      <c r="O75" s="31" t="str">
        <f>IFERROR(__xludf.DUMMYFUNCTION("""COMPUTED_VALUE"""),"Infrastructure")</f>
        <v>Infrastructure</v>
      </c>
    </row>
    <row r="76">
      <c r="A76" s="28" t="str">
        <f t="shared" si="1"/>
        <v>point me</v>
      </c>
      <c r="B76" s="29" t="str">
        <f t="shared" si="2"/>
        <v>$10m</v>
      </c>
      <c r="C76" s="29" t="str">
        <f t="shared" si="3"/>
        <v>Series A</v>
      </c>
      <c r="D76" s="28" t="str">
        <f t="shared" si="4"/>
        <v>Teardown of point me's $10m Series A deck</v>
      </c>
      <c r="E76" s="30" t="str">
        <f t="shared" si="5"/>
        <v>Sep 29, 2023</v>
      </c>
      <c r="F76" s="31" t="str">
        <f>IFERROR(__xludf.DUMMYFUNCTION("""COMPUTED_VALUE"""),"point me")</f>
        <v>point me</v>
      </c>
      <c r="G76" s="32" t="str">
        <f>IFERROR(__xludf.DUMMYFUNCTION("""COMPUTED_VALUE"""),"point.me")</f>
        <v>point.me</v>
      </c>
      <c r="H76" s="31" t="str">
        <f>IFERROR(__xludf.DUMMYFUNCTION("""COMPUTED_VALUE"""),"$10M")</f>
        <v>$10M</v>
      </c>
      <c r="I76" s="33">
        <f>IFERROR(__xludf.DUMMYFUNCTION("""COMPUTED_VALUE"""),1.0E7)</f>
        <v>10000000</v>
      </c>
      <c r="K76" s="31" t="str">
        <f>IFERROR(__xludf.DUMMYFUNCTION("""COMPUTED_VALUE"""),"Series A")</f>
        <v>Series A</v>
      </c>
      <c r="L76" s="34" t="str">
        <f>IFERROR(__xludf.DUMMYFUNCTION("""COMPUTED_VALUE"""),"http://haje.pub/pdt-point-me")</f>
        <v>http://haje.pub/pdt-point-me</v>
      </c>
      <c r="M76" s="32" t="str">
        <f>IFERROR(__xludf.DUMMYFUNCTION("""COMPUTED_VALUE"""),"PDT Published Sep 29, 2023")</f>
        <v>PDT Published Sep 29, 2023</v>
      </c>
      <c r="N76" s="31" t="str">
        <f>IFERROR(__xludf.DUMMYFUNCTION("""COMPUTED_VALUE"""),"B2C")</f>
        <v>B2C</v>
      </c>
      <c r="O76" s="31" t="str">
        <f>IFERROR(__xludf.DUMMYFUNCTION("""COMPUTED_VALUE"""),"Travel")</f>
        <v>Travel</v>
      </c>
    </row>
    <row r="77">
      <c r="A77" s="28" t="str">
        <f t="shared" si="1"/>
        <v>Lupiya</v>
      </c>
      <c r="B77" s="29" t="str">
        <f t="shared" si="2"/>
        <v>$8.3m</v>
      </c>
      <c r="C77" s="29" t="str">
        <f t="shared" si="3"/>
        <v>Series A</v>
      </c>
      <c r="D77" s="28" t="str">
        <f t="shared" si="4"/>
        <v>Teardown of Lupiya's $8.3m Series A deck</v>
      </c>
      <c r="E77" s="30" t="str">
        <f t="shared" si="5"/>
        <v>Oct 6, 2023</v>
      </c>
      <c r="F77" s="31" t="str">
        <f>IFERROR(__xludf.DUMMYFUNCTION("""COMPUTED_VALUE"""),"Lupiya")</f>
        <v>Lupiya</v>
      </c>
      <c r="G77" s="32" t="str">
        <f>IFERROR(__xludf.DUMMYFUNCTION("""COMPUTED_VALUE"""),"https://www.lupiya.com/")</f>
        <v>https://www.lupiya.com/</v>
      </c>
      <c r="H77" s="31" t="str">
        <f>IFERROR(__xludf.DUMMYFUNCTION("""COMPUTED_VALUE"""),"$8.3M")</f>
        <v>$8.3M</v>
      </c>
      <c r="I77" s="33">
        <f>IFERROR(__xludf.DUMMYFUNCTION("""COMPUTED_VALUE"""),8300000.0)</f>
        <v>8300000</v>
      </c>
      <c r="K77" s="31" t="str">
        <f>IFERROR(__xludf.DUMMYFUNCTION("""COMPUTED_VALUE"""),"Series A")</f>
        <v>Series A</v>
      </c>
      <c r="L77" s="34" t="str">
        <f>IFERROR(__xludf.DUMMYFUNCTION("""COMPUTED_VALUE"""),"http://haje.pub/pdt-lupiya")</f>
        <v>http://haje.pub/pdt-lupiya</v>
      </c>
      <c r="M77" s="32" t="str">
        <f>IFERROR(__xludf.DUMMYFUNCTION("""COMPUTED_VALUE"""),"PDT Published Oct 6, 2023")</f>
        <v>PDT Published Oct 6, 2023</v>
      </c>
      <c r="N77" s="31" t="str">
        <f>IFERROR(__xludf.DUMMYFUNCTION("""COMPUTED_VALUE"""),"B2C")</f>
        <v>B2C</v>
      </c>
      <c r="O77" s="31" t="str">
        <f>IFERROR(__xludf.DUMMYFUNCTION("""COMPUTED_VALUE"""),"FinTech")</f>
        <v>FinTech</v>
      </c>
    </row>
    <row r="78">
      <c r="A78" s="28" t="str">
        <f t="shared" si="1"/>
        <v>SplitBrick</v>
      </c>
      <c r="B78" s="29" t="str">
        <f t="shared" si="2"/>
        <v>$200k</v>
      </c>
      <c r="C78" s="29" t="str">
        <f t="shared" si="3"/>
        <v>Angel</v>
      </c>
      <c r="D78" s="28" t="str">
        <f t="shared" si="4"/>
        <v>Teardown of SplitBrick's $200k Angel deck</v>
      </c>
      <c r="E78" s="30" t="str">
        <f t="shared" si="5"/>
        <v>Oct 20, 2023</v>
      </c>
      <c r="F78" s="31" t="str">
        <f>IFERROR(__xludf.DUMMYFUNCTION("""COMPUTED_VALUE"""),"SplitBrick")</f>
        <v>SplitBrick</v>
      </c>
      <c r="G78" s="32" t="str">
        <f>IFERROR(__xludf.DUMMYFUNCTION("""COMPUTED_VALUE"""),"https://www.splitbrick.finance/")</f>
        <v>https://www.splitbrick.finance/</v>
      </c>
      <c r="H78" s="31" t="str">
        <f>IFERROR(__xludf.DUMMYFUNCTION("""COMPUTED_VALUE"""),"$200K")</f>
        <v>$200K</v>
      </c>
      <c r="I78" s="33">
        <f>IFERROR(__xludf.DUMMYFUNCTION("""COMPUTED_VALUE"""),200000.0)</f>
        <v>200000</v>
      </c>
      <c r="K78" s="31" t="str">
        <f>IFERROR(__xludf.DUMMYFUNCTION("""COMPUTED_VALUE"""),"Angel")</f>
        <v>Angel</v>
      </c>
      <c r="L78" s="34" t="str">
        <f>IFERROR(__xludf.DUMMYFUNCTION("""COMPUTED_VALUE"""),"http://haje.pub/pdt-splitbrick")</f>
        <v>http://haje.pub/pdt-splitbrick</v>
      </c>
      <c r="M78" s="32" t="str">
        <f>IFERROR(__xludf.DUMMYFUNCTION("""COMPUTED_VALUE"""),"PDT Published Oct 20, 2023")</f>
        <v>PDT Published Oct 20, 2023</v>
      </c>
      <c r="N78" s="31" t="str">
        <f>IFERROR(__xludf.DUMMYFUNCTION("""COMPUTED_VALUE"""),"B2C")</f>
        <v>B2C</v>
      </c>
      <c r="O78" s="31" t="str">
        <f>IFERROR(__xludf.DUMMYFUNCTION("""COMPUTED_VALUE"""),"Real Estate")</f>
        <v>Real Estate</v>
      </c>
    </row>
    <row r="79">
      <c r="A79" s="28" t="str">
        <f t="shared" si="1"/>
        <v>Aether</v>
      </c>
      <c r="B79" s="29" t="str">
        <f t="shared" si="2"/>
        <v>$49m</v>
      </c>
      <c r="C79" s="29" t="str">
        <f t="shared" si="3"/>
        <v>Series A</v>
      </c>
      <c r="D79" s="28" t="str">
        <f t="shared" si="4"/>
        <v>Teardown of Aether's $49m Series A deck</v>
      </c>
      <c r="E79" s="30" t="str">
        <f t="shared" si="5"/>
        <v>Oct 27, 2023</v>
      </c>
      <c r="F79" s="31" t="str">
        <f>IFERROR(__xludf.DUMMYFUNCTION("""COMPUTED_VALUE"""),"Aether")</f>
        <v>Aether</v>
      </c>
      <c r="G79" s="32" t="str">
        <f>IFERROR(__xludf.DUMMYFUNCTION("""COMPUTED_VALUE"""),"https://www.aetherbio.com/")</f>
        <v>https://www.aetherbio.com/</v>
      </c>
      <c r="H79" s="31" t="str">
        <f>IFERROR(__xludf.DUMMYFUNCTION("""COMPUTED_VALUE"""),"$49M")</f>
        <v>$49M</v>
      </c>
      <c r="I79" s="33">
        <f>IFERROR(__xludf.DUMMYFUNCTION("""COMPUTED_VALUE"""),4.9E7)</f>
        <v>49000000</v>
      </c>
      <c r="K79" s="31" t="str">
        <f>IFERROR(__xludf.DUMMYFUNCTION("""COMPUTED_VALUE"""),"Series A")</f>
        <v>Series A</v>
      </c>
      <c r="L79" s="34" t="str">
        <f>IFERROR(__xludf.DUMMYFUNCTION("""COMPUTED_VALUE"""),"http://haje.pub/pdt-aether")</f>
        <v>http://haje.pub/pdt-aether</v>
      </c>
      <c r="M79" s="32" t="str">
        <f>IFERROR(__xludf.DUMMYFUNCTION("""COMPUTED_VALUE"""),"PDT Published Oct 27, 2023")</f>
        <v>PDT Published Oct 27, 2023</v>
      </c>
      <c r="N79" s="31" t="str">
        <f>IFERROR(__xludf.DUMMYFUNCTION("""COMPUTED_VALUE"""),"B2B")</f>
        <v>B2B</v>
      </c>
      <c r="O79" s="31" t="str">
        <f>IFERROR(__xludf.DUMMYFUNCTION("""COMPUTED_VALUE"""),"Biotech")</f>
        <v>Biotech</v>
      </c>
    </row>
    <row r="80">
      <c r="A80" s="28" t="str">
        <f t="shared" si="1"/>
        <v>CancerVAX</v>
      </c>
      <c r="B80" s="29" t="str">
        <f t="shared" si="2"/>
        <v>$10m</v>
      </c>
      <c r="C80" s="29" t="str">
        <f t="shared" si="3"/>
        <v>Crowdfunding</v>
      </c>
      <c r="D80" s="28" t="str">
        <f t="shared" si="4"/>
        <v>Teardown of CancerVAX's $10m Crowdfunding deck</v>
      </c>
      <c r="E80" s="30" t="str">
        <f t="shared" si="5"/>
        <v>Nov 3, 2023</v>
      </c>
      <c r="F80" s="31" t="str">
        <f>IFERROR(__xludf.DUMMYFUNCTION("""COMPUTED_VALUE"""),"CancerVAX")</f>
        <v>CancerVAX</v>
      </c>
      <c r="G80" s="32" t="str">
        <f>IFERROR(__xludf.DUMMYFUNCTION("""COMPUTED_VALUE"""),"https://cancervax.com/")</f>
        <v>https://cancervax.com/</v>
      </c>
      <c r="H80" s="31" t="str">
        <f>IFERROR(__xludf.DUMMYFUNCTION("""COMPUTED_VALUE"""),"$10M")</f>
        <v>$10M</v>
      </c>
      <c r="I80" s="33">
        <f>IFERROR(__xludf.DUMMYFUNCTION("""COMPUTED_VALUE"""),1.0E7)</f>
        <v>10000000</v>
      </c>
      <c r="K80" s="31" t="str">
        <f>IFERROR(__xludf.DUMMYFUNCTION("""COMPUTED_VALUE"""),"Crowdfunding")</f>
        <v>Crowdfunding</v>
      </c>
      <c r="L80" s="34" t="str">
        <f>IFERROR(__xludf.DUMMYFUNCTION("""COMPUTED_VALUE"""),"http://haje.pub/pdt-cancervax")</f>
        <v>http://haje.pub/pdt-cancervax</v>
      </c>
      <c r="M80" s="32" t="str">
        <f>IFERROR(__xludf.DUMMYFUNCTION("""COMPUTED_VALUE"""),"PDT Published Nov 3, 2023")</f>
        <v>PDT Published Nov 3, 2023</v>
      </c>
      <c r="N80" s="31" t="str">
        <f>IFERROR(__xludf.DUMMYFUNCTION("""COMPUTED_VALUE"""),"B2C")</f>
        <v>B2C</v>
      </c>
      <c r="O80" s="31" t="str">
        <f>IFERROR(__xludf.DUMMYFUNCTION("""COMPUTED_VALUE"""),"Biotech")</f>
        <v>Biotech</v>
      </c>
    </row>
    <row r="81">
      <c r="A81" s="28" t="str">
        <f t="shared" si="1"/>
        <v>Phospholutions</v>
      </c>
      <c r="B81" s="29" t="str">
        <f t="shared" si="2"/>
        <v>$10.15m</v>
      </c>
      <c r="C81" s="29" t="str">
        <f t="shared" si="3"/>
        <v>Series A extension</v>
      </c>
      <c r="D81" s="28" t="str">
        <f t="shared" si="4"/>
        <v>Teardown of Phospholutions's $10.15m Series A extension deck</v>
      </c>
      <c r="E81" s="30" t="str">
        <f t="shared" si="5"/>
        <v>Nov 10, 2023</v>
      </c>
      <c r="F81" s="31" t="str">
        <f>IFERROR(__xludf.DUMMYFUNCTION("""COMPUTED_VALUE"""),"Phospholutions")</f>
        <v>Phospholutions</v>
      </c>
      <c r="G81" s="32" t="str">
        <f>IFERROR(__xludf.DUMMYFUNCTION("""COMPUTED_VALUE"""),"https://www.phospholutions.com/")</f>
        <v>https://www.phospholutions.com/</v>
      </c>
      <c r="H81" s="31" t="str">
        <f>IFERROR(__xludf.DUMMYFUNCTION("""COMPUTED_VALUE"""),"$10.15M")</f>
        <v>$10.15M</v>
      </c>
      <c r="I81" s="33">
        <f>IFERROR(__xludf.DUMMYFUNCTION("""COMPUTED_VALUE"""),1.015E7)</f>
        <v>10150000</v>
      </c>
      <c r="K81" s="31" t="str">
        <f>IFERROR(__xludf.DUMMYFUNCTION("""COMPUTED_VALUE"""),"Series A extension")</f>
        <v>Series A extension</v>
      </c>
      <c r="L81" s="34" t="str">
        <f>IFERROR(__xludf.DUMMYFUNCTION("""COMPUTED_VALUE"""),"http://haje.pub/pdt-phospholutions")</f>
        <v>http://haje.pub/pdt-phospholutions</v>
      </c>
      <c r="M81" s="32" t="str">
        <f>IFERROR(__xludf.DUMMYFUNCTION("""COMPUTED_VALUE"""),"PDT Published Nov 10, 2023")</f>
        <v>PDT Published Nov 10, 2023</v>
      </c>
      <c r="N81" s="31" t="str">
        <f>IFERROR(__xludf.DUMMYFUNCTION("""COMPUTED_VALUE"""),"B2B")</f>
        <v>B2B</v>
      </c>
      <c r="O81" s="31" t="str">
        <f>IFERROR(__xludf.DUMMYFUNCTION("""COMPUTED_VALUE"""),"AgTech")</f>
        <v>AgTech</v>
      </c>
    </row>
    <row r="82">
      <c r="A82" s="28" t="str">
        <f t="shared" si="1"/>
        <v>Fifth Dimension AI</v>
      </c>
      <c r="B82" s="29" t="str">
        <f t="shared" si="2"/>
        <v>$2.8m</v>
      </c>
      <c r="C82" s="29" t="str">
        <f t="shared" si="3"/>
        <v>Seed</v>
      </c>
      <c r="D82" s="28" t="str">
        <f t="shared" si="4"/>
        <v>Teardown of Fifth Dimension AI's $2.8m Seed deck</v>
      </c>
      <c r="E82" s="30" t="str">
        <f t="shared" si="5"/>
        <v>Nov 17, 2023</v>
      </c>
      <c r="F82" s="31" t="str">
        <f>IFERROR(__xludf.DUMMYFUNCTION("""COMPUTED_VALUE"""),"Fifth Dimension AI")</f>
        <v>Fifth Dimension AI</v>
      </c>
      <c r="G82" s="32" t="str">
        <f>IFERROR(__xludf.DUMMYFUNCTION("""COMPUTED_VALUE"""),"https://www.fifthdimensionai.com/")</f>
        <v>https://www.fifthdimensionai.com/</v>
      </c>
      <c r="H82" s="31" t="str">
        <f>IFERROR(__xludf.DUMMYFUNCTION("""COMPUTED_VALUE"""),"$2.8M")</f>
        <v>$2.8M</v>
      </c>
      <c r="I82" s="33">
        <f>IFERROR(__xludf.DUMMYFUNCTION("""COMPUTED_VALUE"""),2800000.0)</f>
        <v>2800000</v>
      </c>
      <c r="K82" s="31" t="str">
        <f>IFERROR(__xludf.DUMMYFUNCTION("""COMPUTED_VALUE"""),"Seed")</f>
        <v>Seed</v>
      </c>
      <c r="L82" s="34" t="str">
        <f>IFERROR(__xludf.DUMMYFUNCTION("""COMPUTED_VALUE"""),"http://haje.pub/pdt-fifth-dimension-ai")</f>
        <v>http://haje.pub/pdt-fifth-dimension-ai</v>
      </c>
      <c r="M82" s="32" t="str">
        <f>IFERROR(__xludf.DUMMYFUNCTION("""COMPUTED_VALUE"""),"PDT Published Nov 17, 2023")</f>
        <v>PDT Published Nov 17, 2023</v>
      </c>
      <c r="N82" s="31" t="str">
        <f>IFERROR(__xludf.DUMMYFUNCTION("""COMPUTED_VALUE"""),"B2B")</f>
        <v>B2B</v>
      </c>
      <c r="O82" s="31" t="str">
        <f>IFERROR(__xludf.DUMMYFUNCTION("""COMPUTED_VALUE"""),"PropTech")</f>
        <v>PropTech</v>
      </c>
    </row>
    <row r="83">
      <c r="A83" s="28" t="str">
        <f t="shared" si="1"/>
        <v>Scalestack</v>
      </c>
      <c r="B83" s="29" t="str">
        <f t="shared" si="2"/>
        <v>$1m</v>
      </c>
      <c r="C83" s="29" t="str">
        <f t="shared" si="3"/>
        <v>Seed</v>
      </c>
      <c r="D83" s="28" t="str">
        <f t="shared" si="4"/>
        <v>Teardown of Scalestack's $1m Seed deck</v>
      </c>
      <c r="E83" s="30" t="str">
        <f t="shared" si="5"/>
        <v>Dec 1, 2023</v>
      </c>
      <c r="F83" s="31" t="str">
        <f>IFERROR(__xludf.DUMMYFUNCTION("""COMPUTED_VALUE"""),"Scalestack")</f>
        <v>Scalestack</v>
      </c>
      <c r="G83" s="32" t="str">
        <f>IFERROR(__xludf.DUMMYFUNCTION("""COMPUTED_VALUE"""),"https://scalestack.ai/")</f>
        <v>https://scalestack.ai/</v>
      </c>
      <c r="H83" s="31" t="str">
        <f>IFERROR(__xludf.DUMMYFUNCTION("""COMPUTED_VALUE"""),"$1M")</f>
        <v>$1M</v>
      </c>
      <c r="I83" s="33">
        <f>IFERROR(__xludf.DUMMYFUNCTION("""COMPUTED_VALUE"""),1000000.0)</f>
        <v>1000000</v>
      </c>
      <c r="K83" s="31" t="str">
        <f>IFERROR(__xludf.DUMMYFUNCTION("""COMPUTED_VALUE"""),"Seed")</f>
        <v>Seed</v>
      </c>
      <c r="L83" s="34" t="str">
        <f>IFERROR(__xludf.DUMMYFUNCTION("""COMPUTED_VALUE"""),"http://haje.pub/pdt-scalestack")</f>
        <v>http://haje.pub/pdt-scalestack</v>
      </c>
      <c r="M83" s="32" t="str">
        <f>IFERROR(__xludf.DUMMYFUNCTION("""COMPUTED_VALUE"""),"PDT Published Dec 1, 2023")</f>
        <v>PDT Published Dec 1, 2023</v>
      </c>
      <c r="N83" s="31" t="str">
        <f>IFERROR(__xludf.DUMMYFUNCTION("""COMPUTED_VALUE"""),"B2B")</f>
        <v>B2B</v>
      </c>
      <c r="O83" s="31" t="str">
        <f>IFERROR(__xludf.DUMMYFUNCTION("""COMPUTED_VALUE"""),"Sales")</f>
        <v>Sales</v>
      </c>
    </row>
    <row r="84">
      <c r="A84" s="28" t="str">
        <f t="shared" si="1"/>
        <v>Metafuels</v>
      </c>
      <c r="B84" s="29" t="str">
        <f t="shared" si="2"/>
        <v>$8m</v>
      </c>
      <c r="C84" s="29" t="str">
        <f t="shared" si="3"/>
        <v>Seed</v>
      </c>
      <c r="D84" s="28" t="str">
        <f t="shared" si="4"/>
        <v>Teardown of Metafuels's $8m Seed deck</v>
      </c>
      <c r="E84" s="30" t="str">
        <f t="shared" si="5"/>
        <v>Dec 15, 2023</v>
      </c>
      <c r="F84" s="31" t="str">
        <f>IFERROR(__xludf.DUMMYFUNCTION("""COMPUTED_VALUE"""),"Metafuels")</f>
        <v>Metafuels</v>
      </c>
      <c r="G84" s="32" t="str">
        <f>IFERROR(__xludf.DUMMYFUNCTION("""COMPUTED_VALUE"""),"https://metafuels.ch/")</f>
        <v>https://metafuels.ch/</v>
      </c>
      <c r="H84" s="31" t="str">
        <f>IFERROR(__xludf.DUMMYFUNCTION("""COMPUTED_VALUE"""),"$8m")</f>
        <v>$8m</v>
      </c>
      <c r="I84" s="33">
        <f>IFERROR(__xludf.DUMMYFUNCTION("""COMPUTED_VALUE"""),8000000.0)</f>
        <v>8000000</v>
      </c>
      <c r="K84" s="31" t="str">
        <f>IFERROR(__xludf.DUMMYFUNCTION("""COMPUTED_VALUE"""),"Seed")</f>
        <v>Seed</v>
      </c>
      <c r="L84" s="34" t="str">
        <f>IFERROR(__xludf.DUMMYFUNCTION("""COMPUTED_VALUE"""),"http://haje.pub/pdt-metafuels")</f>
        <v>http://haje.pub/pdt-metafuels</v>
      </c>
      <c r="M84" s="32" t="str">
        <f>IFERROR(__xludf.DUMMYFUNCTION("""COMPUTED_VALUE"""),"PDT Published Dec 15, 2023")</f>
        <v>PDT Published Dec 15, 2023</v>
      </c>
      <c r="N84" s="31" t="str">
        <f>IFERROR(__xludf.DUMMYFUNCTION("""COMPUTED_VALUE"""),"B2B")</f>
        <v>B2B</v>
      </c>
      <c r="O84" s="31" t="str">
        <f>IFERROR(__xludf.DUMMYFUNCTION("""COMPUTED_VALUE"""),"CleanTech")</f>
        <v>CleanTech</v>
      </c>
    </row>
    <row r="85">
      <c r="A85" s="28" t="str">
        <f t="shared" si="1"/>
        <v>HomeCooks</v>
      </c>
      <c r="B85" s="29" t="str">
        <f t="shared" si="2"/>
        <v>$3.2m</v>
      </c>
      <c r="C85" s="29" t="str">
        <f t="shared" si="3"/>
        <v>Seed</v>
      </c>
      <c r="D85" s="28" t="str">
        <f t="shared" si="4"/>
        <v>Teardown of HomeCooks's $3.2m Seed deck</v>
      </c>
      <c r="E85" s="30" t="str">
        <f t="shared" si="5"/>
        <v>Dec 22, 2023</v>
      </c>
      <c r="F85" s="31" t="str">
        <f>IFERROR(__xludf.DUMMYFUNCTION("""COMPUTED_VALUE"""),"HomeCooks")</f>
        <v>HomeCooks</v>
      </c>
      <c r="G85" s="32" t="str">
        <f>IFERROR(__xludf.DUMMYFUNCTION("""COMPUTED_VALUE"""),"https://home-cooks.co.uk/")</f>
        <v>https://home-cooks.co.uk/</v>
      </c>
      <c r="H85" s="31" t="str">
        <f>IFERROR(__xludf.DUMMYFUNCTION("""COMPUTED_VALUE"""),"$3.2m")</f>
        <v>$3.2m</v>
      </c>
      <c r="I85" s="33">
        <f>IFERROR(__xludf.DUMMYFUNCTION("""COMPUTED_VALUE"""),3200000.0)</f>
        <v>3200000</v>
      </c>
      <c r="K85" s="31" t="str">
        <f>IFERROR(__xludf.DUMMYFUNCTION("""COMPUTED_VALUE"""),"Seed")</f>
        <v>Seed</v>
      </c>
      <c r="L85" s="34" t="str">
        <f>IFERROR(__xludf.DUMMYFUNCTION("""COMPUTED_VALUE"""),"http://haje.pub/pdt-homecooks")</f>
        <v>http://haje.pub/pdt-homecooks</v>
      </c>
      <c r="M85" s="32" t="str">
        <f>IFERROR(__xludf.DUMMYFUNCTION("""COMPUTED_VALUE"""),"PDT Published Dec 22, 2023")</f>
        <v>PDT Published Dec 22, 2023</v>
      </c>
      <c r="N85" s="31" t="str">
        <f>IFERROR(__xludf.DUMMYFUNCTION("""COMPUTED_VALUE"""),"B2C")</f>
        <v>B2C</v>
      </c>
      <c r="O85" s="31" t="str">
        <f>IFERROR(__xludf.DUMMYFUNCTION("""COMPUTED_VALUE"""),"Foodtech")</f>
        <v>Foodtech</v>
      </c>
    </row>
    <row r="86">
      <c r="A86" s="28" t="str">
        <f t="shared" si="1"/>
        <v>Pepper Bio</v>
      </c>
      <c r="B86" s="29" t="str">
        <f t="shared" si="2"/>
        <v>$6.5m</v>
      </c>
      <c r="C86" s="29" t="str">
        <f t="shared" si="3"/>
        <v>Seed</v>
      </c>
      <c r="D86" s="28" t="str">
        <f t="shared" si="4"/>
        <v>Teardown of Pepper Bio's $6.5m Seed deck</v>
      </c>
      <c r="E86" s="30" t="str">
        <f t="shared" si="5"/>
        <v>Jan 5, 2023</v>
      </c>
      <c r="F86" s="31" t="str">
        <f>IFERROR(__xludf.DUMMYFUNCTION("""COMPUTED_VALUE"""),"Pepper Bio")</f>
        <v>Pepper Bio</v>
      </c>
      <c r="G86" s="32" t="str">
        <f>IFERROR(__xludf.DUMMYFUNCTION("""COMPUTED_VALUE"""),"https://pepper.bio/")</f>
        <v>https://pepper.bio/</v>
      </c>
      <c r="H86" s="31" t="str">
        <f>IFERROR(__xludf.DUMMYFUNCTION("""COMPUTED_VALUE"""),"$6.5M")</f>
        <v>$6.5M</v>
      </c>
      <c r="I86" s="33">
        <f>IFERROR(__xludf.DUMMYFUNCTION("""COMPUTED_VALUE"""),6500000.0)</f>
        <v>6500000</v>
      </c>
      <c r="K86" s="31" t="str">
        <f>IFERROR(__xludf.DUMMYFUNCTION("""COMPUTED_VALUE"""),"Seed")</f>
        <v>Seed</v>
      </c>
      <c r="L86" s="34" t="str">
        <f>IFERROR(__xludf.DUMMYFUNCTION("""COMPUTED_VALUE"""),"http://haje.pub/pdt-pepper-bio")</f>
        <v>http://haje.pub/pdt-pepper-bio</v>
      </c>
      <c r="M86" s="32" t="str">
        <f>IFERROR(__xludf.DUMMYFUNCTION("""COMPUTED_VALUE"""),"PDT Published Jan 5, 2023")</f>
        <v>PDT Published Jan 5, 2023</v>
      </c>
      <c r="N86" s="31" t="str">
        <f>IFERROR(__xludf.DUMMYFUNCTION("""COMPUTED_VALUE"""),"B2B")</f>
        <v>B2B</v>
      </c>
      <c r="O86" s="31" t="str">
        <f>IFERROR(__xludf.DUMMYFUNCTION("""COMPUTED_VALUE"""),"Biotech")</f>
        <v>Biotech</v>
      </c>
    </row>
    <row r="87">
      <c r="A87" s="28" t="str">
        <f t="shared" si="1"/>
        <v>Qortex</v>
      </c>
      <c r="B87" s="29" t="str">
        <f t="shared" si="2"/>
        <v>$10m</v>
      </c>
      <c r="C87" s="29" t="str">
        <f t="shared" si="3"/>
        <v>Seed</v>
      </c>
      <c r="D87" s="28" t="str">
        <f t="shared" si="4"/>
        <v>Teardown of Qortex's $10m Seed deck</v>
      </c>
      <c r="E87" s="30" t="str">
        <f t="shared" si="5"/>
        <v>Jan 12, 2023</v>
      </c>
      <c r="F87" s="31" t="str">
        <f>IFERROR(__xludf.DUMMYFUNCTION("""COMPUTED_VALUE"""),"Qortex")</f>
        <v>Qortex</v>
      </c>
      <c r="G87" s="32" t="str">
        <f>IFERROR(__xludf.DUMMYFUNCTION("""COMPUTED_VALUE"""),"https://www.qortex.ai/")</f>
        <v>https://www.qortex.ai/</v>
      </c>
      <c r="H87" s="31" t="str">
        <f>IFERROR(__xludf.DUMMYFUNCTION("""COMPUTED_VALUE"""),"$10M")</f>
        <v>$10M</v>
      </c>
      <c r="I87" s="33">
        <f>IFERROR(__xludf.DUMMYFUNCTION("""COMPUTED_VALUE"""),1.0E7)</f>
        <v>10000000</v>
      </c>
      <c r="K87" s="31" t="str">
        <f>IFERROR(__xludf.DUMMYFUNCTION("""COMPUTED_VALUE"""),"Seed")</f>
        <v>Seed</v>
      </c>
      <c r="L87" s="34" t="str">
        <f>IFERROR(__xludf.DUMMYFUNCTION("""COMPUTED_VALUE"""),"http://haje.pub/pdt-qortex")</f>
        <v>http://haje.pub/pdt-qortex</v>
      </c>
      <c r="M87" s="32" t="str">
        <f>IFERROR(__xludf.DUMMYFUNCTION("""COMPUTED_VALUE"""),"PDT Published Jan 12, 2023")</f>
        <v>PDT Published Jan 12, 2023</v>
      </c>
      <c r="N87" s="31" t="str">
        <f>IFERROR(__xludf.DUMMYFUNCTION("""COMPUTED_VALUE"""),"B2B")</f>
        <v>B2B</v>
      </c>
      <c r="O87" s="31" t="str">
        <f>IFERROR(__xludf.DUMMYFUNCTION("""COMPUTED_VALUE"""),"AdTech")</f>
        <v>AdTech</v>
      </c>
    </row>
    <row r="88">
      <c r="A88" s="28" t="str">
        <f t="shared" si="1"/>
        <v>Ryplzz</v>
      </c>
      <c r="B88" s="29" t="str">
        <f t="shared" si="2"/>
        <v>$3m</v>
      </c>
      <c r="C88" s="29" t="str">
        <f t="shared" si="3"/>
        <v>Seed</v>
      </c>
      <c r="D88" s="28" t="str">
        <f t="shared" si="4"/>
        <v>Teardown of Ryplzz's $3m Seed deck</v>
      </c>
      <c r="E88" s="30" t="str">
        <f t="shared" si="5"/>
        <v>Jan 19, 2024</v>
      </c>
      <c r="F88" s="31" t="str">
        <f>IFERROR(__xludf.DUMMYFUNCTION("""COMPUTED_VALUE"""),"Ryplzz")</f>
        <v>Ryplzz</v>
      </c>
      <c r="G88" s="32" t="str">
        <f>IFERROR(__xludf.DUMMYFUNCTION("""COMPUTED_VALUE"""),"https://rypplzz.com/")</f>
        <v>https://rypplzz.com/</v>
      </c>
      <c r="H88" s="31" t="str">
        <f>IFERROR(__xludf.DUMMYFUNCTION("""COMPUTED_VALUE"""),"$3M")</f>
        <v>$3M</v>
      </c>
      <c r="I88" s="33">
        <f>IFERROR(__xludf.DUMMYFUNCTION("""COMPUTED_VALUE"""),3000000.0)</f>
        <v>3000000</v>
      </c>
      <c r="K88" s="31" t="str">
        <f>IFERROR(__xludf.DUMMYFUNCTION("""COMPUTED_VALUE"""),"Seed")</f>
        <v>Seed</v>
      </c>
      <c r="L88" s="34" t="str">
        <f>IFERROR(__xludf.DUMMYFUNCTION("""COMPUTED_VALUE"""),"http://haje.pub/pdt-ryplzz")</f>
        <v>http://haje.pub/pdt-ryplzz</v>
      </c>
      <c r="M88" s="32" t="str">
        <f>IFERROR(__xludf.DUMMYFUNCTION("""COMPUTED_VALUE"""),"PDT Published Jan 19, 2024")</f>
        <v>PDT Published Jan 19, 2024</v>
      </c>
      <c r="N88" s="31" t="str">
        <f>IFERROR(__xludf.DUMMYFUNCTION("""COMPUTED_VALUE"""),"B2B")</f>
        <v>B2B</v>
      </c>
      <c r="O88" s="31" t="str">
        <f>IFERROR(__xludf.DUMMYFUNCTION("""COMPUTED_VALUE"""),"Geolocation")</f>
        <v>Geolocation</v>
      </c>
    </row>
    <row r="89">
      <c r="A89" s="28" t="str">
        <f t="shared" si="1"/>
        <v>Doola</v>
      </c>
      <c r="B89" s="29" t="str">
        <f t="shared" si="2"/>
        <v>$1m</v>
      </c>
      <c r="C89" s="29" t="str">
        <f t="shared" si="3"/>
        <v>Series A extension</v>
      </c>
      <c r="D89" s="28" t="str">
        <f t="shared" si="4"/>
        <v>Teardown of Doola's $1m Series A extension deck</v>
      </c>
      <c r="E89" s="30" t="str">
        <f t="shared" si="5"/>
        <v>Jan 26, 2024</v>
      </c>
      <c r="F89" s="31" t="str">
        <f>IFERROR(__xludf.DUMMYFUNCTION("""COMPUTED_VALUE"""),"Doola")</f>
        <v>Doola</v>
      </c>
      <c r="G89" s="32" t="str">
        <f>IFERROR(__xludf.DUMMYFUNCTION("""COMPUTED_VALUE"""),"https://www.doola.com/")</f>
        <v>https://www.doola.com/</v>
      </c>
      <c r="H89" s="31" t="str">
        <f>IFERROR(__xludf.DUMMYFUNCTION("""COMPUTED_VALUE"""),"$1M")</f>
        <v>$1M</v>
      </c>
      <c r="I89" s="33">
        <f>IFERROR(__xludf.DUMMYFUNCTION("""COMPUTED_VALUE"""),1000000.0)</f>
        <v>1000000</v>
      </c>
      <c r="K89" s="31" t="str">
        <f>IFERROR(__xludf.DUMMYFUNCTION("""COMPUTED_VALUE"""),"Series A extension")</f>
        <v>Series A extension</v>
      </c>
      <c r="L89" s="34" t="str">
        <f>IFERROR(__xludf.DUMMYFUNCTION("""COMPUTED_VALUE"""),"http://haje.pub/pdt-doola")</f>
        <v>http://haje.pub/pdt-doola</v>
      </c>
      <c r="M89" s="32" t="str">
        <f>IFERROR(__xludf.DUMMYFUNCTION("""COMPUTED_VALUE"""),"PDT Published Jan 26, 2024")</f>
        <v>PDT Published Jan 26, 2024</v>
      </c>
      <c r="N89" s="31" t="str">
        <f>IFERROR(__xludf.DUMMYFUNCTION("""COMPUTED_VALUE"""),"B2B")</f>
        <v>B2B</v>
      </c>
      <c r="O89" s="31" t="str">
        <f>IFERROR(__xludf.DUMMYFUNCTION("""COMPUTED_VALUE"""),"LegalTech")</f>
        <v>LegalTech</v>
      </c>
    </row>
    <row r="90">
      <c r="A90" s="28" t="str">
        <f t="shared" si="1"/>
        <v>PhageLab</v>
      </c>
      <c r="B90" s="29" t="str">
        <f t="shared" si="2"/>
        <v>$11m</v>
      </c>
      <c r="C90" s="29" t="str">
        <f t="shared" si="3"/>
        <v>Series A</v>
      </c>
      <c r="D90" s="28" t="str">
        <f t="shared" si="4"/>
        <v>Teardown of PhageLab's $11m Series A deck</v>
      </c>
      <c r="E90" s="30" t="str">
        <f t="shared" si="5"/>
        <v>Feb 2, 2024</v>
      </c>
      <c r="F90" s="31" t="str">
        <f>IFERROR(__xludf.DUMMYFUNCTION("""COMPUTED_VALUE"""),"PhageLab")</f>
        <v>PhageLab</v>
      </c>
      <c r="G90" s="32" t="str">
        <f>IFERROR(__xludf.DUMMYFUNCTION("""COMPUTED_VALUE"""),"https://phage-lab.com/")</f>
        <v>https://phage-lab.com/</v>
      </c>
      <c r="H90" s="31" t="str">
        <f>IFERROR(__xludf.DUMMYFUNCTION("""COMPUTED_VALUE"""),"$11M")</f>
        <v>$11M</v>
      </c>
      <c r="I90" s="33">
        <f>IFERROR(__xludf.DUMMYFUNCTION("""COMPUTED_VALUE"""),1.1E7)</f>
        <v>11000000</v>
      </c>
      <c r="K90" s="31" t="str">
        <f>IFERROR(__xludf.DUMMYFUNCTION("""COMPUTED_VALUE"""),"Series A")</f>
        <v>Series A</v>
      </c>
      <c r="L90" s="34" t="str">
        <f>IFERROR(__xludf.DUMMYFUNCTION("""COMPUTED_VALUE"""),"http://haje.pub/pdt-phagelab")</f>
        <v>http://haje.pub/pdt-phagelab</v>
      </c>
      <c r="M90" s="32" t="str">
        <f>IFERROR(__xludf.DUMMYFUNCTION("""COMPUTED_VALUE"""),"PDT Published Feb 2, 2024")</f>
        <v>PDT Published Feb 2, 2024</v>
      </c>
      <c r="N90" s="31" t="str">
        <f>IFERROR(__xludf.DUMMYFUNCTION("""COMPUTED_VALUE"""),"B2B")</f>
        <v>B2B</v>
      </c>
      <c r="O90" s="31" t="str">
        <f>IFERROR(__xludf.DUMMYFUNCTION("""COMPUTED_VALUE"""),"Biotech")</f>
        <v>Biotech</v>
      </c>
    </row>
    <row r="91">
      <c r="A91" s="28" t="str">
        <f t="shared" si="1"/>
        <v>Xyte</v>
      </c>
      <c r="B91" s="29" t="str">
        <f t="shared" si="2"/>
        <v>$30m</v>
      </c>
      <c r="C91" s="29" t="str">
        <f t="shared" si="3"/>
        <v>Series A</v>
      </c>
      <c r="D91" s="28" t="str">
        <f t="shared" si="4"/>
        <v>Teardown of Xyte's $30m Series A deck</v>
      </c>
      <c r="E91" s="30" t="str">
        <f t="shared" si="5"/>
        <v>Feb 9, 2024</v>
      </c>
      <c r="F91" s="31" t="str">
        <f>IFERROR(__xludf.DUMMYFUNCTION("""COMPUTED_VALUE"""),"Xyte")</f>
        <v>Xyte</v>
      </c>
      <c r="G91" s="32" t="str">
        <f>IFERROR(__xludf.DUMMYFUNCTION("""COMPUTED_VALUE"""),"https://www.xyte.io/")</f>
        <v>https://www.xyte.io/</v>
      </c>
      <c r="H91" s="31" t="str">
        <f>IFERROR(__xludf.DUMMYFUNCTION("""COMPUTED_VALUE"""),"$30M ")</f>
        <v>$30M </v>
      </c>
      <c r="I91" s="33">
        <f>IFERROR(__xludf.DUMMYFUNCTION("""COMPUTED_VALUE"""),3.0E7)</f>
        <v>30000000</v>
      </c>
      <c r="K91" s="31" t="str">
        <f>IFERROR(__xludf.DUMMYFUNCTION("""COMPUTED_VALUE"""),"Series A")</f>
        <v>Series A</v>
      </c>
      <c r="L91" s="34" t="str">
        <f>IFERROR(__xludf.DUMMYFUNCTION("""COMPUTED_VALUE"""),"http://haje.pub/pdt-xyte")</f>
        <v>http://haje.pub/pdt-xyte</v>
      </c>
      <c r="M91" s="32" t="str">
        <f>IFERROR(__xludf.DUMMYFUNCTION("""COMPUTED_VALUE"""),"PDT Published Feb 9, 2024")</f>
        <v>PDT Published Feb 9, 2024</v>
      </c>
      <c r="N91" s="31" t="str">
        <f>IFERROR(__xludf.DUMMYFUNCTION("""COMPUTED_VALUE"""),"B2B")</f>
        <v>B2B</v>
      </c>
      <c r="O91" s="31" t="str">
        <f>IFERROR(__xludf.DUMMYFUNCTION("""COMPUTED_VALUE"""),"Appliances")</f>
        <v>Appliances</v>
      </c>
    </row>
    <row r="92">
      <c r="A92" s="28" t="str">
        <f t="shared" si="1"/>
        <v>Equals</v>
      </c>
      <c r="B92" s="29" t="str">
        <f t="shared" si="2"/>
        <v>$16m</v>
      </c>
      <c r="C92" s="29" t="str">
        <f t="shared" si="3"/>
        <v>Series A</v>
      </c>
      <c r="D92" s="28" t="str">
        <f t="shared" si="4"/>
        <v>Teardown of Equals's $16m Series A deck</v>
      </c>
      <c r="E92" s="30" t="str">
        <f t="shared" si="5"/>
        <v>Feb 16, 2024</v>
      </c>
      <c r="F92" s="31" t="str">
        <f>IFERROR(__xludf.DUMMYFUNCTION("""COMPUTED_VALUE"""),"Equals")</f>
        <v>Equals</v>
      </c>
      <c r="G92" s="32" t="str">
        <f>IFERROR(__xludf.DUMMYFUNCTION("""COMPUTED_VALUE"""),"equals.com")</f>
        <v>equals.com</v>
      </c>
      <c r="H92" s="31" t="str">
        <f>IFERROR(__xludf.DUMMYFUNCTION("""COMPUTED_VALUE"""),"$16M")</f>
        <v>$16M</v>
      </c>
      <c r="I92" s="33">
        <f>IFERROR(__xludf.DUMMYFUNCTION("""COMPUTED_VALUE"""),1.6E7)</f>
        <v>16000000</v>
      </c>
      <c r="K92" s="31" t="str">
        <f>IFERROR(__xludf.DUMMYFUNCTION("""COMPUTED_VALUE"""),"Series A")</f>
        <v>Series A</v>
      </c>
      <c r="L92" s="34" t="str">
        <f>IFERROR(__xludf.DUMMYFUNCTION("""COMPUTED_VALUE"""),"http://haje.pub/pdt-equals")</f>
        <v>http://haje.pub/pdt-equals</v>
      </c>
      <c r="M92" s="32" t="str">
        <f>IFERROR(__xludf.DUMMYFUNCTION("""COMPUTED_VALUE"""),"PDT Published Feb 16, 2024")</f>
        <v>PDT Published Feb 16, 2024</v>
      </c>
      <c r="N92" s="31" t="str">
        <f>IFERROR(__xludf.DUMMYFUNCTION("""COMPUTED_VALUE"""),"B2B")</f>
        <v>B2B</v>
      </c>
      <c r="O92" s="31" t="str">
        <f>IFERROR(__xludf.DUMMYFUNCTION("""COMPUTED_VALUE"""),"Analytics")</f>
        <v>Analytics</v>
      </c>
    </row>
    <row r="93">
      <c r="A93" s="28" t="str">
        <f t="shared" si="1"/>
        <v>CommandBar</v>
      </c>
      <c r="B93" s="29" t="str">
        <f t="shared" si="2"/>
        <v>$4.8m</v>
      </c>
      <c r="C93" s="29" t="str">
        <f t="shared" si="3"/>
        <v>Seed</v>
      </c>
      <c r="D93" s="28" t="str">
        <f t="shared" si="4"/>
        <v>Teardown of CommandBar's $4.8m Seed deck</v>
      </c>
      <c r="E93" s="30" t="str">
        <f t="shared" si="5"/>
        <v>Mar 1, 2024</v>
      </c>
      <c r="F93" s="31" t="str">
        <f>IFERROR(__xludf.DUMMYFUNCTION("""COMPUTED_VALUE"""),"CommandBar")</f>
        <v>CommandBar</v>
      </c>
      <c r="G93" s="32" t="str">
        <f>IFERROR(__xludf.DUMMYFUNCTION("""COMPUTED_VALUE"""),"commandbar.com/")</f>
        <v>commandbar.com/</v>
      </c>
      <c r="H93" s="31" t="str">
        <f>IFERROR(__xludf.DUMMYFUNCTION("""COMPUTED_VALUE"""),"$4.8M")</f>
        <v>$4.8M</v>
      </c>
      <c r="I93" s="33">
        <f>IFERROR(__xludf.DUMMYFUNCTION("""COMPUTED_VALUE"""),4800000.0)</f>
        <v>4800000</v>
      </c>
      <c r="K93" s="31" t="str">
        <f>IFERROR(__xludf.DUMMYFUNCTION("""COMPUTED_VALUE"""),"Seed")</f>
        <v>Seed</v>
      </c>
      <c r="L93" s="34" t="str">
        <f>IFERROR(__xludf.DUMMYFUNCTION("""COMPUTED_VALUE"""),"http://haje.pub/pdt-commandbar")</f>
        <v>http://haje.pub/pdt-commandbar</v>
      </c>
      <c r="M93" s="32" t="str">
        <f>IFERROR(__xludf.DUMMYFUNCTION("""COMPUTED_VALUE"""),"PDT Published Mar 1, 2024")</f>
        <v>PDT Published Mar 1, 2024</v>
      </c>
      <c r="N93" s="31" t="str">
        <f>IFERROR(__xludf.DUMMYFUNCTION("""COMPUTED_VALUE"""),"B2B")</f>
        <v>B2B</v>
      </c>
      <c r="O93" s="31" t="str">
        <f>IFERROR(__xludf.DUMMYFUNCTION("""COMPUTED_VALUE"""),"UX")</f>
        <v>UX</v>
      </c>
    </row>
    <row r="94">
      <c r="A94" s="28" t="str">
        <f t="shared" si="1"/>
        <v>Astek Diagnostics</v>
      </c>
      <c r="B94" s="29" t="str">
        <f t="shared" si="2"/>
        <v>$2m</v>
      </c>
      <c r="C94" s="29" t="str">
        <f t="shared" si="3"/>
        <v>Seed</v>
      </c>
      <c r="D94" s="28" t="str">
        <f t="shared" si="4"/>
        <v>Teardown of Astek Diagnostics's $2m Seed deck</v>
      </c>
      <c r="E94" s="30" t="str">
        <f t="shared" si="5"/>
        <v>Mar 9, 2024</v>
      </c>
      <c r="F94" s="31" t="str">
        <f>IFERROR(__xludf.DUMMYFUNCTION("""COMPUTED_VALUE"""),"Astek Diagnostics")</f>
        <v>Astek Diagnostics</v>
      </c>
      <c r="G94" s="32" t="str">
        <f>IFERROR(__xludf.DUMMYFUNCTION("""COMPUTED_VALUE"""),"https://astekdx.com/")</f>
        <v>https://astekdx.com/</v>
      </c>
      <c r="H94" s="31" t="str">
        <f>IFERROR(__xludf.DUMMYFUNCTION("""COMPUTED_VALUE"""),"$2m")</f>
        <v>$2m</v>
      </c>
      <c r="I94" s="33">
        <f>IFERROR(__xludf.DUMMYFUNCTION("""COMPUTED_VALUE"""),2000000.0)</f>
        <v>2000000</v>
      </c>
      <c r="K94" s="31" t="str">
        <f>IFERROR(__xludf.DUMMYFUNCTION("""COMPUTED_VALUE"""),"Seed")</f>
        <v>Seed</v>
      </c>
      <c r="L94" s="34" t="str">
        <f>IFERROR(__xludf.DUMMYFUNCTION("""COMPUTED_VALUE"""),"https://haje.pub/pdt-astek")</f>
        <v>https://haje.pub/pdt-astek</v>
      </c>
      <c r="M94" s="32" t="str">
        <f>IFERROR(__xludf.DUMMYFUNCTION("""COMPUTED_VALUE"""),"PDT Published Mar 9, 2024")</f>
        <v>PDT Published Mar 9, 2024</v>
      </c>
      <c r="N94" s="31" t="str">
        <f>IFERROR(__xludf.DUMMYFUNCTION("""COMPUTED_VALUE"""),"B2B")</f>
        <v>B2B</v>
      </c>
      <c r="O94" s="31" t="str">
        <f>IFERROR(__xludf.DUMMYFUNCTION("""COMPUTED_VALUE"""),"MEdTech")</f>
        <v>MEdTech</v>
      </c>
    </row>
    <row r="95">
      <c r="A95" s="28" t="str">
        <f t="shared" si="1"/>
        <v>SuperScale</v>
      </c>
      <c r="B95" s="29" t="str">
        <f t="shared" si="2"/>
        <v>$4.4m</v>
      </c>
      <c r="C95" s="29" t="str">
        <f t="shared" si="3"/>
        <v>Series A</v>
      </c>
      <c r="D95" s="28" t="str">
        <f t="shared" si="4"/>
        <v>Teardown of SuperScale's $4.4m Series A deck</v>
      </c>
      <c r="E95" s="30" t="str">
        <f t="shared" si="5"/>
        <v>Mar 15, 2024</v>
      </c>
      <c r="F95" s="31" t="str">
        <f>IFERROR(__xludf.DUMMYFUNCTION("""COMPUTED_VALUE"""),"SuperScale")</f>
        <v>SuperScale</v>
      </c>
      <c r="G95" s="32" t="str">
        <f>IFERROR(__xludf.DUMMYFUNCTION("""COMPUTED_VALUE"""),"https://superscale.com/")</f>
        <v>https://superscale.com/</v>
      </c>
      <c r="H95" s="31" t="str">
        <f>IFERROR(__xludf.DUMMYFUNCTION("""COMPUTED_VALUE"""),"$5.4M ")</f>
        <v>$5.4M </v>
      </c>
      <c r="I95" s="33">
        <f>IFERROR(__xludf.DUMMYFUNCTION("""COMPUTED_VALUE"""),4400000.0)</f>
        <v>4400000</v>
      </c>
      <c r="K95" s="31" t="str">
        <f>IFERROR(__xludf.DUMMYFUNCTION("""COMPUTED_VALUE"""),"Series A")</f>
        <v>Series A</v>
      </c>
      <c r="L95" s="34" t="str">
        <f>IFERROR(__xludf.DUMMYFUNCTION("""COMPUTED_VALUE"""),"https://haje.pub/pdt-superscale")</f>
        <v>https://haje.pub/pdt-superscale</v>
      </c>
      <c r="M95" s="32" t="str">
        <f>IFERROR(__xludf.DUMMYFUNCTION("""COMPUTED_VALUE"""),"PDT Published Mar 15, 2024")</f>
        <v>PDT Published Mar 15, 2024</v>
      </c>
      <c r="N95" s="31" t="str">
        <f>IFERROR(__xludf.DUMMYFUNCTION("""COMPUTED_VALUE"""),"B2B")</f>
        <v>B2B</v>
      </c>
      <c r="O95" s="31" t="str">
        <f>IFERROR(__xludf.DUMMYFUNCTION("""COMPUTED_VALUE"""),"Gaming")</f>
        <v>Gaming</v>
      </c>
    </row>
    <row r="96">
      <c r="A96" s="28" t="str">
        <f t="shared" si="1"/>
        <v>Protecto</v>
      </c>
      <c r="B96" s="29" t="str">
        <f t="shared" si="2"/>
        <v>$4m</v>
      </c>
      <c r="C96" s="29" t="str">
        <f t="shared" si="3"/>
        <v>Seed</v>
      </c>
      <c r="D96" s="28" t="str">
        <f t="shared" si="4"/>
        <v>Teardown of Protecto's $4m Seed deck</v>
      </c>
      <c r="E96" s="30" t="str">
        <f t="shared" si="5"/>
        <v>Mar 22, 2024</v>
      </c>
      <c r="F96" s="31" t="str">
        <f>IFERROR(__xludf.DUMMYFUNCTION("""COMPUTED_VALUE"""),"Protecto")</f>
        <v>Protecto</v>
      </c>
      <c r="G96" s="32" t="str">
        <f>IFERROR(__xludf.DUMMYFUNCTION("""COMPUTED_VALUE"""),"https://www.protecto.ai")</f>
        <v>https://www.protecto.ai</v>
      </c>
      <c r="H96" s="31" t="str">
        <f>IFERROR(__xludf.DUMMYFUNCTION("""COMPUTED_VALUE"""),"$4M")</f>
        <v>$4M</v>
      </c>
      <c r="I96" s="33">
        <f>IFERROR(__xludf.DUMMYFUNCTION("""COMPUTED_VALUE"""),4000000.0)</f>
        <v>4000000</v>
      </c>
      <c r="K96" s="31" t="str">
        <f>IFERROR(__xludf.DUMMYFUNCTION("""COMPUTED_VALUE"""),"Seed")</f>
        <v>Seed</v>
      </c>
      <c r="L96" s="34" t="str">
        <f>IFERROR(__xludf.DUMMYFUNCTION("""COMPUTED_VALUE"""),"https://haje.pub/pdt-protecto")</f>
        <v>https://haje.pub/pdt-protecto</v>
      </c>
      <c r="M96" s="32" t="str">
        <f>IFERROR(__xludf.DUMMYFUNCTION("""COMPUTED_VALUE"""),"PDT Published Mar 22, 2024")</f>
        <v>PDT Published Mar 22, 2024</v>
      </c>
      <c r="N96" s="31" t="str">
        <f>IFERROR(__xludf.DUMMYFUNCTION("""COMPUTED_VALUE"""),"B2B")</f>
        <v>B2B</v>
      </c>
      <c r="O96" s="31" t="str">
        <f>IFERROR(__xludf.DUMMYFUNCTION("""COMPUTED_VALUE"""),"Security")</f>
        <v>Security</v>
      </c>
    </row>
    <row r="97">
      <c r="A97" s="28" t="str">
        <f t="shared" si="1"/>
        <v>Plantee Innovations</v>
      </c>
      <c r="B97" s="29" t="str">
        <f t="shared" si="2"/>
        <v>$1.4m</v>
      </c>
      <c r="C97" s="29" t="str">
        <f t="shared" si="3"/>
        <v>Seed</v>
      </c>
      <c r="D97" s="28" t="str">
        <f t="shared" si="4"/>
        <v>Teardown of Plantee Innovations's $1.4m Seed deck</v>
      </c>
      <c r="E97" s="30" t="str">
        <f t="shared" si="5"/>
        <v>Mar 29, 2024</v>
      </c>
      <c r="F97" s="31" t="str">
        <f>IFERROR(__xludf.DUMMYFUNCTION("""COMPUTED_VALUE"""),"Plantee Innovations")</f>
        <v>Plantee Innovations</v>
      </c>
      <c r="G97" s="32" t="str">
        <f>IFERROR(__xludf.DUMMYFUNCTION("""COMPUTED_VALUE"""),"https://plant.ee/")</f>
        <v>https://plant.ee/</v>
      </c>
      <c r="H97" s="31" t="str">
        <f>IFERROR(__xludf.DUMMYFUNCTION("""COMPUTED_VALUE"""),"$1.4M")</f>
        <v>$1.4M</v>
      </c>
      <c r="I97" s="33">
        <f>IFERROR(__xludf.DUMMYFUNCTION("""COMPUTED_VALUE"""),1400000.0)</f>
        <v>1400000</v>
      </c>
      <c r="K97" s="31" t="str">
        <f>IFERROR(__xludf.DUMMYFUNCTION("""COMPUTED_VALUE"""),"Seed")</f>
        <v>Seed</v>
      </c>
      <c r="L97" s="34" t="str">
        <f>IFERROR(__xludf.DUMMYFUNCTION("""COMPUTED_VALUE"""),"https://haje.pub/pdt-plantee")</f>
        <v>https://haje.pub/pdt-plantee</v>
      </c>
      <c r="M97" s="32" t="str">
        <f>IFERROR(__xludf.DUMMYFUNCTION("""COMPUTED_VALUE"""),"PDT Published Mar 29, 2024")</f>
        <v>PDT Published Mar 29, 2024</v>
      </c>
      <c r="N97" s="31" t="str">
        <f>IFERROR(__xludf.DUMMYFUNCTION("""COMPUTED_VALUE"""),"B2C")</f>
        <v>B2C</v>
      </c>
      <c r="O97" s="31" t="str">
        <f>IFERROR(__xludf.DUMMYFUNCTION("""COMPUTED_VALUE"""),"AgTech")</f>
        <v>AgTech</v>
      </c>
    </row>
    <row r="98">
      <c r="A98" s="28" t="str">
        <f t="shared" si="1"/>
        <v>Queerie</v>
      </c>
      <c r="B98" s="29" t="str">
        <f t="shared" si="2"/>
        <v>$300k</v>
      </c>
      <c r="C98" s="29" t="str">
        <f t="shared" si="3"/>
        <v>Pre-seed</v>
      </c>
      <c r="D98" s="28" t="str">
        <f t="shared" si="4"/>
        <v>Teardown of Queerie's $300k Pre-seed deck</v>
      </c>
      <c r="E98" s="30" t="str">
        <f t="shared" si="5"/>
        <v>Apr 5, 2024</v>
      </c>
      <c r="F98" s="31" t="str">
        <f>IFERROR(__xludf.DUMMYFUNCTION("""COMPUTED_VALUE"""),"Queerie")</f>
        <v>Queerie</v>
      </c>
      <c r="G98" s="31" t="str">
        <f>IFERROR(__xludf.DUMMYFUNCTION("""COMPUTED_VALUE"""),"queerie.app")</f>
        <v>queerie.app</v>
      </c>
      <c r="H98" s="31" t="str">
        <f>IFERROR(__xludf.DUMMYFUNCTION("""COMPUTED_VALUE"""),"$300k")</f>
        <v>$300k</v>
      </c>
      <c r="I98" s="33">
        <f>IFERROR(__xludf.DUMMYFUNCTION("""COMPUTED_VALUE"""),300000.0)</f>
        <v>300000</v>
      </c>
      <c r="K98" s="31" t="str">
        <f>IFERROR(__xludf.DUMMYFUNCTION("""COMPUTED_VALUE"""),"Pre-seed")</f>
        <v>Pre-seed</v>
      </c>
      <c r="L98" s="34" t="str">
        <f>IFERROR(__xludf.DUMMYFUNCTION("""COMPUTED_VALUE"""),"https://haje.pub/pdt-queerie")</f>
        <v>https://haje.pub/pdt-queerie</v>
      </c>
      <c r="M98" s="32" t="str">
        <f>IFERROR(__xludf.DUMMYFUNCTION("""COMPUTED_VALUE"""),"PDT Published Apr 5, 2024")</f>
        <v>PDT Published Apr 5, 2024</v>
      </c>
      <c r="N98" s="31" t="str">
        <f>IFERROR(__xludf.DUMMYFUNCTION("""COMPUTED_VALUE"""),"B2C")</f>
        <v>B2C</v>
      </c>
      <c r="O98" s="31" t="str">
        <f>IFERROR(__xludf.DUMMYFUNCTION("""COMPUTED_VALUE"""),"Dating")</f>
        <v>Dating</v>
      </c>
    </row>
    <row r="99">
      <c r="A99" s="28" t="str">
        <f t="shared" si="1"/>
        <v>Xpanceo</v>
      </c>
      <c r="B99" s="29" t="str">
        <f t="shared" si="2"/>
        <v>$40m</v>
      </c>
      <c r="C99" s="29" t="str">
        <f t="shared" si="3"/>
        <v>Seed</v>
      </c>
      <c r="D99" s="28" t="str">
        <f t="shared" si="4"/>
        <v>Teardown of Xpanceo's $40m Seed deck</v>
      </c>
      <c r="E99" s="30" t="str">
        <f t="shared" si="5"/>
        <v>Apr 12, 2024</v>
      </c>
      <c r="F99" s="31" t="str">
        <f>IFERROR(__xludf.DUMMYFUNCTION("""COMPUTED_VALUE"""),"Xpanceo")</f>
        <v>Xpanceo</v>
      </c>
      <c r="G99" s="32" t="str">
        <f>IFERROR(__xludf.DUMMYFUNCTION("""COMPUTED_VALUE"""),"https://www.xpanceo.com/")</f>
        <v>https://www.xpanceo.com/</v>
      </c>
      <c r="H99" s="31" t="str">
        <f>IFERROR(__xludf.DUMMYFUNCTION("""COMPUTED_VALUE"""),"$40M")</f>
        <v>$40M</v>
      </c>
      <c r="I99" s="33">
        <f>IFERROR(__xludf.DUMMYFUNCTION("""COMPUTED_VALUE"""),4.0E7)</f>
        <v>40000000</v>
      </c>
      <c r="K99" s="31" t="str">
        <f>IFERROR(__xludf.DUMMYFUNCTION("""COMPUTED_VALUE"""),"Seed")</f>
        <v>Seed</v>
      </c>
      <c r="L99" s="34" t="str">
        <f>IFERROR(__xludf.DUMMYFUNCTION("""COMPUTED_VALUE"""),"https://haje.pub/pdt-xpanceo")</f>
        <v>https://haje.pub/pdt-xpanceo</v>
      </c>
      <c r="M99" s="32" t="str">
        <f>IFERROR(__xludf.DUMMYFUNCTION("""COMPUTED_VALUE"""),"PDT Published Apr 12, 2024")</f>
        <v>PDT Published Apr 12, 2024</v>
      </c>
      <c r="N99" s="31" t="str">
        <f>IFERROR(__xludf.DUMMYFUNCTION("""COMPUTED_VALUE"""),"B2B2C")</f>
        <v>B2B2C</v>
      </c>
      <c r="O99" s="31" t="str">
        <f>IFERROR(__xludf.DUMMYFUNCTION("""COMPUTED_VALUE"""),"Augmented Reality")</f>
        <v>Augmented Reality</v>
      </c>
    </row>
    <row r="100">
      <c r="A100" s="28" t="str">
        <f t="shared" si="1"/>
        <v>Geodesic.Life</v>
      </c>
      <c r="B100" s="29" t="str">
        <f t="shared" si="2"/>
        <v>$500k</v>
      </c>
      <c r="C100" s="29" t="str">
        <f t="shared" si="3"/>
        <v>Pre-seed</v>
      </c>
      <c r="D100" s="28" t="str">
        <f t="shared" si="4"/>
        <v>Teardown of Geodesic.Life's $500k Pre-seed deck</v>
      </c>
      <c r="E100" s="30" t="str">
        <f t="shared" si="5"/>
        <v>Apr 19, 2024</v>
      </c>
      <c r="F100" s="31" t="str">
        <f>IFERROR(__xludf.DUMMYFUNCTION("""COMPUTED_VALUE"""),"Geodesic.Life")</f>
        <v>Geodesic.Life</v>
      </c>
      <c r="G100" s="32" t="str">
        <f>IFERROR(__xludf.DUMMYFUNCTION("""COMPUTED_VALUE"""),"https://geodesic.life/")</f>
        <v>https://geodesic.life/</v>
      </c>
      <c r="H100" s="31" t="str">
        <f>IFERROR(__xludf.DUMMYFUNCTION("""COMPUTED_VALUE"""),"$500k")</f>
        <v>$500k</v>
      </c>
      <c r="I100" s="33">
        <f>IFERROR(__xludf.DUMMYFUNCTION("""COMPUTED_VALUE"""),500000.0)</f>
        <v>500000</v>
      </c>
      <c r="K100" s="31" t="str">
        <f>IFERROR(__xludf.DUMMYFUNCTION("""COMPUTED_VALUE"""),"Pre-seed")</f>
        <v>Pre-seed</v>
      </c>
      <c r="L100" s="34" t="str">
        <f>IFERROR(__xludf.DUMMYFUNCTION("""COMPUTED_VALUE"""),"https://haje.pub/pdt-geodesic-life")</f>
        <v>https://haje.pub/pdt-geodesic-life</v>
      </c>
      <c r="M100" s="32" t="str">
        <f>IFERROR(__xludf.DUMMYFUNCTION("""COMPUTED_VALUE"""),"PDT Published Apr 19, 2024")</f>
        <v>PDT Published Apr 19, 2024</v>
      </c>
      <c r="N100" s="31" t="str">
        <f>IFERROR(__xludf.DUMMYFUNCTION("""COMPUTED_VALUE"""),"B2C")</f>
        <v>B2C</v>
      </c>
      <c r="O100" s="31" t="str">
        <f>IFERROR(__xludf.DUMMYFUNCTION("""COMPUTED_VALUE"""),"Housing")</f>
        <v>Housing</v>
      </c>
    </row>
    <row r="101">
      <c r="A101" s="28" t="str">
        <f t="shared" si="1"/>
        <v>NOQX</v>
      </c>
      <c r="B101" s="29" t="str">
        <f t="shared" si="2"/>
        <v>$200k</v>
      </c>
      <c r="C101" s="29" t="str">
        <f t="shared" si="3"/>
        <v>Pre-seed</v>
      </c>
      <c r="D101" s="28" t="str">
        <f t="shared" si="4"/>
        <v>Teardown of NOQX's $200k Pre-seed deck</v>
      </c>
      <c r="E101" s="30" t="str">
        <f t="shared" si="5"/>
        <v>Apr 26, 2024</v>
      </c>
      <c r="F101" s="31" t="str">
        <f>IFERROR(__xludf.DUMMYFUNCTION("""COMPUTED_VALUE"""),"NOQX")</f>
        <v>NOQX</v>
      </c>
      <c r="G101" s="32" t="str">
        <f>IFERROR(__xludf.DUMMYFUNCTION("""COMPUTED_VALUE"""),"https://noqx.io/")</f>
        <v>https://noqx.io/</v>
      </c>
      <c r="H101" s="31" t="str">
        <f>IFERROR(__xludf.DUMMYFUNCTION("""COMPUTED_VALUE"""),"$200k")</f>
        <v>$200k</v>
      </c>
      <c r="I101" s="33">
        <f>IFERROR(__xludf.DUMMYFUNCTION("""COMPUTED_VALUE"""),200000.0)</f>
        <v>200000</v>
      </c>
      <c r="K101" s="31" t="str">
        <f>IFERROR(__xludf.DUMMYFUNCTION("""COMPUTED_VALUE"""),"Pre-seed")</f>
        <v>Pre-seed</v>
      </c>
      <c r="L101" s="34" t="str">
        <f>IFERROR(__xludf.DUMMYFUNCTION("""COMPUTED_VALUE"""),"https://haje.pub/pdt-noqx")</f>
        <v>https://haje.pub/pdt-noqx</v>
      </c>
      <c r="M101" s="32" t="str">
        <f>IFERROR(__xludf.DUMMYFUNCTION("""COMPUTED_VALUE"""),"PDT Published Apr 26, 2024")</f>
        <v>PDT Published Apr 26, 2024</v>
      </c>
      <c r="N101" s="31" t="str">
        <f>IFERROR(__xludf.DUMMYFUNCTION("""COMPUTED_VALUE"""),"B2B")</f>
        <v>B2B</v>
      </c>
      <c r="O101" s="31" t="str">
        <f>IFERROR(__xludf.DUMMYFUNCTION("""COMPUTED_VALUE"""),"SaaS")</f>
        <v>SaaS</v>
      </c>
    </row>
    <row r="102">
      <c r="A102" s="28" t="str">
        <f t="shared" si="1"/>
        <v>Cloudsmith</v>
      </c>
      <c r="B102" s="29" t="str">
        <f t="shared" si="2"/>
        <v>$15m</v>
      </c>
      <c r="C102" s="29" t="str">
        <f t="shared" si="3"/>
        <v>Series A</v>
      </c>
      <c r="D102" s="28" t="str">
        <f t="shared" si="4"/>
        <v>Teardown of Cloudsmith's $15m Series A deck</v>
      </c>
      <c r="E102" s="30" t="str">
        <f t="shared" si="5"/>
        <v>May 10, 2024</v>
      </c>
      <c r="F102" s="31" t="str">
        <f>IFERROR(__xludf.DUMMYFUNCTION("""COMPUTED_VALUE"""),"Cloudsmith")</f>
        <v>Cloudsmith</v>
      </c>
      <c r="G102" s="32" t="str">
        <f>IFERROR(__xludf.DUMMYFUNCTION("""COMPUTED_VALUE"""),"https://cloudsmith.com")</f>
        <v>https://cloudsmith.com</v>
      </c>
      <c r="H102" s="31" t="str">
        <f>IFERROR(__xludf.DUMMYFUNCTION("""COMPUTED_VALUE"""),"$15m")</f>
        <v>$15m</v>
      </c>
      <c r="I102" s="33">
        <f>IFERROR(__xludf.DUMMYFUNCTION("""COMPUTED_VALUE"""),1.5E7)</f>
        <v>15000000</v>
      </c>
      <c r="K102" s="31" t="str">
        <f>IFERROR(__xludf.DUMMYFUNCTION("""COMPUTED_VALUE"""),"Series A")</f>
        <v>Series A</v>
      </c>
      <c r="L102" s="34" t="str">
        <f>IFERROR(__xludf.DUMMYFUNCTION("""COMPUTED_VALUE"""),"https://haje.pub/pdt-cloudsmith")</f>
        <v>https://haje.pub/pdt-cloudsmith</v>
      </c>
      <c r="M102" s="32" t="str">
        <f>IFERROR(__xludf.DUMMYFUNCTION("""COMPUTED_VALUE"""),"PDT Published May 10, 2024")</f>
        <v>PDT Published May 10, 2024</v>
      </c>
      <c r="N102" s="31" t="str">
        <f>IFERROR(__xludf.DUMMYFUNCTION("""COMPUTED_VALUE"""),"B2B")</f>
        <v>B2B</v>
      </c>
      <c r="O102" s="31" t="str">
        <f>IFERROR(__xludf.DUMMYFUNCTION("""COMPUTED_VALUE"""),"Cloud")</f>
        <v>Cloud</v>
      </c>
    </row>
    <row r="103">
      <c r="A103" s="28" t="str">
        <f t="shared" si="1"/>
        <v>Goodcarbon</v>
      </c>
      <c r="B103" s="29" t="str">
        <f t="shared" si="2"/>
        <v>$5.5m</v>
      </c>
      <c r="C103" s="29" t="str">
        <f t="shared" si="3"/>
        <v>Seed</v>
      </c>
      <c r="D103" s="28" t="str">
        <f t="shared" si="4"/>
        <v>Teardown of Goodcarbon's $5.5m Seed deck</v>
      </c>
      <c r="E103" s="30" t="str">
        <f t="shared" si="5"/>
        <v>May 17, 2024</v>
      </c>
      <c r="F103" s="31" t="str">
        <f>IFERROR(__xludf.DUMMYFUNCTION("""COMPUTED_VALUE"""),"Goodcarbon")</f>
        <v>Goodcarbon</v>
      </c>
      <c r="G103" s="32" t="str">
        <f>IFERROR(__xludf.DUMMYFUNCTION("""COMPUTED_VALUE"""),"https://goodcarbon.earth/en")</f>
        <v>https://goodcarbon.earth/en</v>
      </c>
      <c r="H103" s="31" t="str">
        <f>IFERROR(__xludf.DUMMYFUNCTION("""COMPUTED_VALUE"""),"$5.5m")</f>
        <v>$5.5m</v>
      </c>
      <c r="I103" s="33">
        <f>IFERROR(__xludf.DUMMYFUNCTION("""COMPUTED_VALUE"""),5500000.0)</f>
        <v>5500000</v>
      </c>
      <c r="K103" s="31" t="str">
        <f>IFERROR(__xludf.DUMMYFUNCTION("""COMPUTED_VALUE"""),"Seed")</f>
        <v>Seed</v>
      </c>
      <c r="L103" s="34" t="str">
        <f>IFERROR(__xludf.DUMMYFUNCTION("""COMPUTED_VALUE"""),"https://haje.pub/pdt-goodcarbon")</f>
        <v>https://haje.pub/pdt-goodcarbon</v>
      </c>
      <c r="M103" s="32" t="str">
        <f>IFERROR(__xludf.DUMMYFUNCTION("""COMPUTED_VALUE"""),"PDT Published May 17, 2024")</f>
        <v>PDT Published May 17, 2024</v>
      </c>
      <c r="N103" s="31" t="str">
        <f>IFERROR(__xludf.DUMMYFUNCTION("""COMPUTED_VALUE"""),"B2B")</f>
        <v>B2B</v>
      </c>
      <c r="O103" s="31" t="str">
        <f>IFERROR(__xludf.DUMMYFUNCTION("""COMPUTED_VALUE"""),"ClimateTech")</f>
        <v>ClimateTech</v>
      </c>
    </row>
    <row r="104">
      <c r="A104" s="28" t="str">
        <f t="shared" si="1"/>
        <v>Terra One</v>
      </c>
      <c r="B104" s="29" t="str">
        <f t="shared" si="2"/>
        <v>$7.5m</v>
      </c>
      <c r="C104" s="29" t="str">
        <f t="shared" si="3"/>
        <v>Seed</v>
      </c>
      <c r="D104" s="28" t="str">
        <f t="shared" si="4"/>
        <v>Teardown of Terra One's $7.5m Seed deck</v>
      </c>
      <c r="E104" s="30" t="str">
        <f t="shared" si="5"/>
        <v>May 24, 2024</v>
      </c>
      <c r="F104" s="31" t="str">
        <f>IFERROR(__xludf.DUMMYFUNCTION("""COMPUTED_VALUE"""),"Terra One")</f>
        <v>Terra One</v>
      </c>
      <c r="G104" s="32" t="str">
        <f>IFERROR(__xludf.DUMMYFUNCTION("""COMPUTED_VALUE"""),"https://www.terra.one/")</f>
        <v>https://www.terra.one/</v>
      </c>
      <c r="H104" s="31" t="str">
        <f>IFERROR(__xludf.DUMMYFUNCTION("""COMPUTED_VALUE"""),"$7.5m")</f>
        <v>$7.5m</v>
      </c>
      <c r="I104" s="33">
        <f>IFERROR(__xludf.DUMMYFUNCTION("""COMPUTED_VALUE"""),7500000.0)</f>
        <v>7500000</v>
      </c>
      <c r="K104" s="31" t="str">
        <f>IFERROR(__xludf.DUMMYFUNCTION("""COMPUTED_VALUE"""),"Seed")</f>
        <v>Seed</v>
      </c>
      <c r="L104" s="34" t="str">
        <f>IFERROR(__xludf.DUMMYFUNCTION("""COMPUTED_VALUE"""),"https://haje.pub/pdt-terra-one")</f>
        <v>https://haje.pub/pdt-terra-one</v>
      </c>
      <c r="M104" s="32" t="str">
        <f>IFERROR(__xludf.DUMMYFUNCTION("""COMPUTED_VALUE"""),"PDT Published May 24, 2024")</f>
        <v>PDT Published May 24, 2024</v>
      </c>
      <c r="N104" s="31" t="str">
        <f>IFERROR(__xludf.DUMMYFUNCTION("""COMPUTED_VALUE"""),"B2B")</f>
        <v>B2B</v>
      </c>
      <c r="O104" s="31" t="str">
        <f>IFERROR(__xludf.DUMMYFUNCTION("""COMPUTED_VALUE"""),"Energy")</f>
        <v>Energy</v>
      </c>
    </row>
    <row r="105">
      <c r="A105" s="28" t="str">
        <f t="shared" si="1"/>
        <v>RAW Dating App</v>
      </c>
      <c r="B105" s="29" t="str">
        <f t="shared" si="2"/>
        <v>$3m</v>
      </c>
      <c r="C105" s="29" t="str">
        <f t="shared" si="3"/>
        <v>Angel</v>
      </c>
      <c r="D105" s="28" t="str">
        <f t="shared" si="4"/>
        <v>Teardown of RAW Dating App's $3m Angel deck</v>
      </c>
      <c r="E105" s="30" t="str">
        <f t="shared" si="5"/>
        <v>May 31, 2024</v>
      </c>
      <c r="F105" s="31" t="str">
        <f>IFERROR(__xludf.DUMMYFUNCTION("""COMPUTED_VALUE"""),"RAW Dating App")</f>
        <v>RAW Dating App</v>
      </c>
      <c r="G105" s="32" t="str">
        <f>IFERROR(__xludf.DUMMYFUNCTION("""COMPUTED_VALUE"""),"https://www.raw.app")</f>
        <v>https://www.raw.app</v>
      </c>
      <c r="H105" s="31" t="str">
        <f>IFERROR(__xludf.DUMMYFUNCTION("""COMPUTED_VALUE"""),"$3M")</f>
        <v>$3M</v>
      </c>
      <c r="I105" s="33">
        <f>IFERROR(__xludf.DUMMYFUNCTION("""COMPUTED_VALUE"""),3000000.0)</f>
        <v>3000000</v>
      </c>
      <c r="K105" s="31" t="str">
        <f>IFERROR(__xludf.DUMMYFUNCTION("""COMPUTED_VALUE"""),"Angel")</f>
        <v>Angel</v>
      </c>
      <c r="L105" s="34" t="str">
        <f>IFERROR(__xludf.DUMMYFUNCTION("""COMPUTED_VALUE"""),"https://haje.pub/pdt-raw")</f>
        <v>https://haje.pub/pdt-raw</v>
      </c>
      <c r="M105" s="32" t="str">
        <f>IFERROR(__xludf.DUMMYFUNCTION("""COMPUTED_VALUE"""),"PDT Published May 31, 2024")</f>
        <v>PDT Published May 31, 2024</v>
      </c>
      <c r="N105" s="31" t="str">
        <f>IFERROR(__xludf.DUMMYFUNCTION("""COMPUTED_VALUE"""),"B2C")</f>
        <v>B2C</v>
      </c>
      <c r="O105" s="31" t="str">
        <f>IFERROR(__xludf.DUMMYFUNCTION("""COMPUTED_VALUE"""),"Dating")</f>
        <v>Dating</v>
      </c>
    </row>
    <row r="106">
      <c r="A106" s="28" t="str">
        <f t="shared" si="1"/>
        <v>Kinnect</v>
      </c>
      <c r="B106" s="29" t="str">
        <f t="shared" si="2"/>
        <v>$250k</v>
      </c>
      <c r="C106" s="29" t="str">
        <f t="shared" si="3"/>
        <v>Angel</v>
      </c>
      <c r="D106" s="28" t="str">
        <f t="shared" si="4"/>
        <v>Teardown of Kinnect's $250k Angel deck</v>
      </c>
      <c r="E106" s="30" t="str">
        <f t="shared" si="5"/>
        <v>June 14, 2024</v>
      </c>
      <c r="F106" s="31" t="str">
        <f>IFERROR(__xludf.DUMMYFUNCTION("""COMPUTED_VALUE"""),"Kinnect")</f>
        <v>Kinnect</v>
      </c>
      <c r="G106" s="31" t="str">
        <f>IFERROR(__xludf.DUMMYFUNCTION("""COMPUTED_VALUE"""),"www.kinnect.club")</f>
        <v>www.kinnect.club</v>
      </c>
      <c r="H106" s="31" t="str">
        <f>IFERROR(__xludf.DUMMYFUNCTION("""COMPUTED_VALUE"""),"$250k")</f>
        <v>$250k</v>
      </c>
      <c r="I106" s="33">
        <f>IFERROR(__xludf.DUMMYFUNCTION("""COMPUTED_VALUE"""),250000.0)</f>
        <v>250000</v>
      </c>
      <c r="K106" s="31" t="str">
        <f>IFERROR(__xludf.DUMMYFUNCTION("""COMPUTED_VALUE"""),"Angel")</f>
        <v>Angel</v>
      </c>
      <c r="L106" s="34" t="str">
        <f>IFERROR(__xludf.DUMMYFUNCTION("""COMPUTED_VALUE"""),"https://haje.pub/PDT-kinnect")</f>
        <v>https://haje.pub/PDT-kinnect</v>
      </c>
      <c r="M106" s="32" t="str">
        <f>IFERROR(__xludf.DUMMYFUNCTION("""COMPUTED_VALUE"""),"PDT Published June 14, 2024")</f>
        <v>PDT Published June 14, 2024</v>
      </c>
      <c r="N106" s="31" t="str">
        <f>IFERROR(__xludf.DUMMYFUNCTION("""COMPUTED_VALUE"""),"B2C")</f>
        <v>B2C</v>
      </c>
      <c r="O106" s="31" t="str">
        <f>IFERROR(__xludf.DUMMYFUNCTION("""COMPUTED_VALUE"""),"Social Media")</f>
        <v>Social Media</v>
      </c>
    </row>
    <row r="107">
      <c r="A107" s="28" t="str">
        <f t="shared" si="1"/>
        <v>Feel Therapeutics</v>
      </c>
      <c r="B107" s="29" t="str">
        <f t="shared" si="2"/>
        <v>$3.5m</v>
      </c>
      <c r="C107" s="29" t="str">
        <f t="shared" si="3"/>
        <v>Seed</v>
      </c>
      <c r="D107" s="28" t="str">
        <f t="shared" si="4"/>
        <v>Teardown of Feel Therapeutics's $3.5m Seed deck</v>
      </c>
      <c r="E107" s="30" t="str">
        <f t="shared" si="5"/>
        <v>June 21, 2024</v>
      </c>
      <c r="F107" s="31" t="str">
        <f>IFERROR(__xludf.DUMMYFUNCTION("""COMPUTED_VALUE"""),"Feel Therapeutics")</f>
        <v>Feel Therapeutics</v>
      </c>
      <c r="G107" s="32" t="str">
        <f>IFERROR(__xludf.DUMMYFUNCTION("""COMPUTED_VALUE"""),"https://www.feeltherapeutics.com/")</f>
        <v>https://www.feeltherapeutics.com/</v>
      </c>
      <c r="H107" s="31" t="str">
        <f>IFERROR(__xludf.DUMMYFUNCTION("""COMPUTED_VALUE"""),"$3.5M")</f>
        <v>$3.5M</v>
      </c>
      <c r="I107" s="33">
        <f>IFERROR(__xludf.DUMMYFUNCTION("""COMPUTED_VALUE"""),3500000.0)</f>
        <v>3500000</v>
      </c>
      <c r="K107" s="31" t="str">
        <f>IFERROR(__xludf.DUMMYFUNCTION("""COMPUTED_VALUE"""),"Seed")</f>
        <v>Seed</v>
      </c>
      <c r="L107" s="34" t="str">
        <f>IFERROR(__xludf.DUMMYFUNCTION("""COMPUTED_VALUE"""),"https://haje.pub/pdt-feel-therapeutics")</f>
        <v>https://haje.pub/pdt-feel-therapeutics</v>
      </c>
      <c r="M107" s="32" t="str">
        <f>IFERROR(__xludf.DUMMYFUNCTION("""COMPUTED_VALUE"""),"PDT Published June 21, 2024")</f>
        <v>PDT Published June 21, 2024</v>
      </c>
      <c r="N107" s="31" t="str">
        <f>IFERROR(__xludf.DUMMYFUNCTION("""COMPUTED_VALUE"""),"B2B2C")</f>
        <v>B2B2C</v>
      </c>
      <c r="O107" s="31" t="str">
        <f>IFERROR(__xludf.DUMMYFUNCTION("""COMPUTED_VALUE"""),"Health")</f>
        <v>Health</v>
      </c>
    </row>
    <row r="108">
      <c r="A108" s="28" t="str">
        <f t="shared" si="1"/>
        <v>Megamod</v>
      </c>
      <c r="B108" s="29" t="str">
        <f t="shared" si="2"/>
        <v>$1.9m</v>
      </c>
      <c r="C108" s="29" t="str">
        <f t="shared" si="3"/>
        <v>Seed</v>
      </c>
      <c r="D108" s="28" t="str">
        <f t="shared" si="4"/>
        <v>Teardown of Megamod's $1.9m Seed deck</v>
      </c>
      <c r="E108" s="30" t="str">
        <f t="shared" si="5"/>
        <v>June 28, 2024</v>
      </c>
      <c r="F108" s="31" t="str">
        <f>IFERROR(__xludf.DUMMYFUNCTION("""COMPUTED_VALUE"""),"Megamod")</f>
        <v>Megamod</v>
      </c>
      <c r="G108" s="32" t="str">
        <f>IFERROR(__xludf.DUMMYFUNCTION("""COMPUTED_VALUE"""),"https://megamod.io")</f>
        <v>https://megamod.io</v>
      </c>
      <c r="H108" s="31" t="str">
        <f>IFERROR(__xludf.DUMMYFUNCTION("""COMPUTED_VALUE"""),"$1.9M")</f>
        <v>$1.9M</v>
      </c>
      <c r="I108" s="33">
        <f>IFERROR(__xludf.DUMMYFUNCTION("""COMPUTED_VALUE"""),1900000.0)</f>
        <v>1900000</v>
      </c>
      <c r="K108" s="31" t="str">
        <f>IFERROR(__xludf.DUMMYFUNCTION("""COMPUTED_VALUE"""),"Seed")</f>
        <v>Seed</v>
      </c>
      <c r="L108" s="34" t="str">
        <f>IFERROR(__xludf.DUMMYFUNCTION("""COMPUTED_VALUE"""),"https://haje.pub/pdt-megamod")</f>
        <v>https://haje.pub/pdt-megamod</v>
      </c>
      <c r="M108" s="32" t="str">
        <f>IFERROR(__xludf.DUMMYFUNCTION("""COMPUTED_VALUE"""),"PDT Published June 28, 2024")</f>
        <v>PDT Published June 28, 2024</v>
      </c>
      <c r="N108" s="31" t="str">
        <f>IFERROR(__xludf.DUMMYFUNCTION("""COMPUTED_VALUE"""),"B2C")</f>
        <v>B2C</v>
      </c>
      <c r="O108" s="31" t="str">
        <f>IFERROR(__xludf.DUMMYFUNCTION("""COMPUTED_VALUE"""),"Gaming")</f>
        <v>Gaming</v>
      </c>
    </row>
    <row r="109">
      <c r="A109" s="35" t="str">
        <f t="shared" si="1"/>
        <v/>
      </c>
      <c r="B109" s="29" t="str">
        <f t="shared" si="2"/>
        <v/>
      </c>
      <c r="C109" s="29" t="str">
        <f t="shared" si="3"/>
        <v/>
      </c>
      <c r="D109" s="35" t="str">
        <f t="shared" si="4"/>
        <v/>
      </c>
      <c r="E109" s="30" t="str">
        <f t="shared" si="5"/>
        <v/>
      </c>
      <c r="I109" s="33"/>
      <c r="L109" s="3"/>
    </row>
    <row r="110">
      <c r="A110" s="35" t="str">
        <f t="shared" si="1"/>
        <v/>
      </c>
      <c r="B110" s="29" t="str">
        <f t="shared" si="2"/>
        <v/>
      </c>
      <c r="C110" s="29" t="str">
        <f t="shared" si="3"/>
        <v/>
      </c>
      <c r="D110" s="35" t="str">
        <f t="shared" si="4"/>
        <v/>
      </c>
      <c r="E110" s="30" t="str">
        <f t="shared" si="5"/>
        <v/>
      </c>
      <c r="I110" s="33"/>
      <c r="L110" s="3"/>
    </row>
    <row r="111">
      <c r="A111" s="35" t="str">
        <f t="shared" si="1"/>
        <v/>
      </c>
      <c r="B111" s="29" t="str">
        <f t="shared" si="2"/>
        <v/>
      </c>
      <c r="C111" s="29" t="str">
        <f t="shared" si="3"/>
        <v/>
      </c>
      <c r="D111" s="35" t="str">
        <f t="shared" si="4"/>
        <v/>
      </c>
      <c r="E111" s="30" t="str">
        <f t="shared" si="5"/>
        <v/>
      </c>
      <c r="I111" s="33"/>
      <c r="L111" s="3"/>
    </row>
    <row r="112">
      <c r="A112" s="35" t="str">
        <f t="shared" si="1"/>
        <v/>
      </c>
      <c r="B112" s="29" t="str">
        <f t="shared" si="2"/>
        <v/>
      </c>
      <c r="C112" s="29" t="str">
        <f t="shared" si="3"/>
        <v/>
      </c>
      <c r="D112" s="35" t="str">
        <f t="shared" si="4"/>
        <v/>
      </c>
      <c r="E112" s="30" t="str">
        <f t="shared" si="5"/>
        <v/>
      </c>
      <c r="I112" s="33"/>
      <c r="L112" s="3"/>
    </row>
    <row r="113">
      <c r="A113" s="35" t="str">
        <f t="shared" si="1"/>
        <v/>
      </c>
      <c r="B113" s="29" t="str">
        <f t="shared" si="2"/>
        <v/>
      </c>
      <c r="C113" s="29" t="str">
        <f t="shared" si="3"/>
        <v/>
      </c>
      <c r="D113" s="35" t="str">
        <f t="shared" si="4"/>
        <v/>
      </c>
      <c r="E113" s="30" t="str">
        <f t="shared" si="5"/>
        <v/>
      </c>
      <c r="I113" s="33"/>
      <c r="L113" s="3"/>
    </row>
    <row r="114">
      <c r="A114" s="35" t="str">
        <f t="shared" si="1"/>
        <v/>
      </c>
      <c r="B114" s="29" t="str">
        <f t="shared" si="2"/>
        <v/>
      </c>
      <c r="C114" s="29" t="str">
        <f t="shared" si="3"/>
        <v/>
      </c>
      <c r="D114" s="35" t="str">
        <f t="shared" si="4"/>
        <v/>
      </c>
      <c r="E114" s="30" t="str">
        <f t="shared" si="5"/>
        <v/>
      </c>
      <c r="I114" s="33"/>
      <c r="L114" s="3"/>
    </row>
    <row r="115">
      <c r="A115" s="35" t="str">
        <f t="shared" si="1"/>
        <v/>
      </c>
      <c r="B115" s="29" t="str">
        <f t="shared" si="2"/>
        <v/>
      </c>
      <c r="C115" s="29" t="str">
        <f t="shared" si="3"/>
        <v/>
      </c>
      <c r="D115" s="35" t="str">
        <f t="shared" si="4"/>
        <v/>
      </c>
      <c r="E115" s="30" t="str">
        <f t="shared" si="5"/>
        <v/>
      </c>
      <c r="I115" s="33"/>
      <c r="L115" s="3"/>
    </row>
    <row r="116">
      <c r="A116" s="35" t="str">
        <f t="shared" si="1"/>
        <v/>
      </c>
      <c r="B116" s="29" t="str">
        <f t="shared" si="2"/>
        <v/>
      </c>
      <c r="C116" s="29" t="str">
        <f t="shared" si="3"/>
        <v/>
      </c>
      <c r="D116" s="35" t="str">
        <f t="shared" si="4"/>
        <v/>
      </c>
      <c r="E116" s="30" t="str">
        <f t="shared" si="5"/>
        <v/>
      </c>
      <c r="I116" s="33"/>
      <c r="L116" s="3"/>
    </row>
    <row r="117">
      <c r="A117" s="35" t="str">
        <f t="shared" si="1"/>
        <v/>
      </c>
      <c r="B117" s="29" t="str">
        <f t="shared" si="2"/>
        <v/>
      </c>
      <c r="C117" s="29" t="str">
        <f t="shared" si="3"/>
        <v/>
      </c>
      <c r="D117" s="35" t="str">
        <f t="shared" si="4"/>
        <v/>
      </c>
      <c r="E117" s="30" t="str">
        <f t="shared" si="5"/>
        <v/>
      </c>
      <c r="I117" s="33"/>
      <c r="L117" s="3"/>
    </row>
    <row r="118">
      <c r="A118" s="35" t="str">
        <f t="shared" si="1"/>
        <v/>
      </c>
      <c r="B118" s="29" t="str">
        <f t="shared" si="2"/>
        <v/>
      </c>
      <c r="C118" s="29" t="str">
        <f t="shared" si="3"/>
        <v/>
      </c>
      <c r="D118" s="35" t="str">
        <f t="shared" si="4"/>
        <v/>
      </c>
      <c r="E118" s="30" t="str">
        <f t="shared" si="5"/>
        <v/>
      </c>
      <c r="I118" s="33"/>
      <c r="L118" s="3"/>
    </row>
    <row r="119">
      <c r="A119" s="35" t="str">
        <f t="shared" si="1"/>
        <v/>
      </c>
      <c r="B119" s="29" t="str">
        <f t="shared" si="2"/>
        <v/>
      </c>
      <c r="C119" s="29" t="str">
        <f t="shared" si="3"/>
        <v/>
      </c>
      <c r="D119" s="35" t="str">
        <f t="shared" si="4"/>
        <v/>
      </c>
      <c r="E119" s="30" t="str">
        <f t="shared" si="5"/>
        <v/>
      </c>
      <c r="I119" s="33"/>
      <c r="L119" s="3"/>
    </row>
    <row r="120">
      <c r="A120" s="35" t="str">
        <f t="shared" si="1"/>
        <v/>
      </c>
      <c r="B120" s="29" t="str">
        <f t="shared" si="2"/>
        <v/>
      </c>
      <c r="C120" s="29" t="str">
        <f t="shared" si="3"/>
        <v/>
      </c>
      <c r="D120" s="35" t="str">
        <f t="shared" si="4"/>
        <v/>
      </c>
      <c r="E120" s="30" t="str">
        <f t="shared" si="5"/>
        <v/>
      </c>
      <c r="I120" s="33"/>
      <c r="L120" s="3"/>
    </row>
    <row r="121">
      <c r="A121" s="35" t="str">
        <f t="shared" si="1"/>
        <v/>
      </c>
      <c r="B121" s="29" t="str">
        <f t="shared" si="2"/>
        <v/>
      </c>
      <c r="C121" s="29" t="str">
        <f t="shared" si="3"/>
        <v/>
      </c>
      <c r="D121" s="35" t="str">
        <f t="shared" si="4"/>
        <v/>
      </c>
      <c r="E121" s="30" t="str">
        <f t="shared" si="5"/>
        <v/>
      </c>
      <c r="I121" s="33"/>
      <c r="L121" s="3"/>
    </row>
    <row r="122">
      <c r="A122" s="35" t="str">
        <f t="shared" si="1"/>
        <v/>
      </c>
      <c r="B122" s="29" t="str">
        <f t="shared" si="2"/>
        <v/>
      </c>
      <c r="C122" s="29" t="str">
        <f t="shared" si="3"/>
        <v/>
      </c>
      <c r="D122" s="35" t="str">
        <f t="shared" si="4"/>
        <v/>
      </c>
      <c r="E122" s="30" t="str">
        <f t="shared" si="5"/>
        <v/>
      </c>
      <c r="I122" s="33"/>
      <c r="L122" s="3"/>
    </row>
    <row r="123">
      <c r="A123" s="35" t="str">
        <f t="shared" si="1"/>
        <v/>
      </c>
      <c r="B123" s="29" t="str">
        <f t="shared" si="2"/>
        <v/>
      </c>
      <c r="C123" s="29" t="str">
        <f t="shared" si="3"/>
        <v/>
      </c>
      <c r="D123" s="35" t="str">
        <f t="shared" si="4"/>
        <v/>
      </c>
      <c r="E123" s="30" t="str">
        <f t="shared" si="5"/>
        <v/>
      </c>
      <c r="I123" s="33"/>
      <c r="L123" s="3"/>
    </row>
    <row r="124">
      <c r="A124" s="35" t="str">
        <f t="shared" si="1"/>
        <v/>
      </c>
      <c r="B124" s="29" t="str">
        <f t="shared" si="2"/>
        <v/>
      </c>
      <c r="C124" s="29" t="str">
        <f t="shared" si="3"/>
        <v/>
      </c>
      <c r="D124" s="35" t="str">
        <f t="shared" si="4"/>
        <v/>
      </c>
      <c r="E124" s="30" t="str">
        <f t="shared" si="5"/>
        <v/>
      </c>
      <c r="I124" s="33"/>
      <c r="L124" s="3"/>
    </row>
    <row r="125">
      <c r="A125" s="35" t="str">
        <f t="shared" si="1"/>
        <v/>
      </c>
      <c r="B125" s="29" t="str">
        <f t="shared" si="2"/>
        <v/>
      </c>
      <c r="C125" s="29" t="str">
        <f t="shared" si="3"/>
        <v/>
      </c>
      <c r="D125" s="35" t="str">
        <f t="shared" si="4"/>
        <v/>
      </c>
      <c r="E125" s="30" t="str">
        <f t="shared" si="5"/>
        <v/>
      </c>
      <c r="I125" s="33"/>
      <c r="L125" s="3"/>
    </row>
    <row r="126">
      <c r="A126" s="35" t="str">
        <f t="shared" si="1"/>
        <v/>
      </c>
      <c r="B126" s="29" t="str">
        <f t="shared" si="2"/>
        <v/>
      </c>
      <c r="C126" s="29" t="str">
        <f t="shared" si="3"/>
        <v/>
      </c>
      <c r="D126" s="35" t="str">
        <f t="shared" si="4"/>
        <v/>
      </c>
      <c r="E126" s="30" t="str">
        <f t="shared" si="5"/>
        <v/>
      </c>
      <c r="I126" s="33"/>
      <c r="L126" s="3"/>
    </row>
    <row r="127">
      <c r="A127" s="35" t="str">
        <f t="shared" si="1"/>
        <v/>
      </c>
      <c r="B127" s="29" t="str">
        <f t="shared" si="2"/>
        <v/>
      </c>
      <c r="C127" s="29" t="str">
        <f t="shared" si="3"/>
        <v/>
      </c>
      <c r="D127" s="35" t="str">
        <f t="shared" si="4"/>
        <v/>
      </c>
      <c r="E127" s="30" t="str">
        <f t="shared" si="5"/>
        <v/>
      </c>
      <c r="I127" s="33"/>
      <c r="L127" s="3"/>
    </row>
    <row r="128">
      <c r="A128" s="35" t="str">
        <f t="shared" si="1"/>
        <v/>
      </c>
      <c r="B128" s="29" t="str">
        <f t="shared" si="2"/>
        <v/>
      </c>
      <c r="C128" s="29" t="str">
        <f t="shared" si="3"/>
        <v/>
      </c>
      <c r="D128" s="35" t="str">
        <f t="shared" si="4"/>
        <v/>
      </c>
      <c r="E128" s="30" t="str">
        <f t="shared" si="5"/>
        <v/>
      </c>
      <c r="I128" s="33"/>
      <c r="L128" s="3"/>
    </row>
    <row r="129">
      <c r="A129" s="35" t="str">
        <f t="shared" si="1"/>
        <v/>
      </c>
      <c r="B129" s="29" t="str">
        <f t="shared" si="2"/>
        <v/>
      </c>
      <c r="C129" s="29" t="str">
        <f t="shared" si="3"/>
        <v/>
      </c>
      <c r="D129" s="35" t="str">
        <f t="shared" si="4"/>
        <v/>
      </c>
      <c r="E129" s="30" t="str">
        <f t="shared" si="5"/>
        <v/>
      </c>
      <c r="I129" s="33"/>
      <c r="L129" s="3"/>
    </row>
    <row r="130">
      <c r="A130" s="35" t="str">
        <f t="shared" si="1"/>
        <v/>
      </c>
      <c r="B130" s="29" t="str">
        <f t="shared" si="2"/>
        <v/>
      </c>
      <c r="C130" s="29" t="str">
        <f t="shared" si="3"/>
        <v/>
      </c>
      <c r="D130" s="35" t="str">
        <f t="shared" si="4"/>
        <v/>
      </c>
      <c r="E130" s="30" t="str">
        <f t="shared" si="5"/>
        <v/>
      </c>
      <c r="I130" s="33"/>
      <c r="L130" s="3"/>
    </row>
    <row r="131">
      <c r="A131" s="35" t="str">
        <f t="shared" si="1"/>
        <v/>
      </c>
      <c r="B131" s="29" t="str">
        <f t="shared" si="2"/>
        <v/>
      </c>
      <c r="C131" s="29" t="str">
        <f t="shared" si="3"/>
        <v/>
      </c>
      <c r="D131" s="35" t="str">
        <f t="shared" si="4"/>
        <v/>
      </c>
      <c r="E131" s="30" t="str">
        <f t="shared" si="5"/>
        <v/>
      </c>
      <c r="I131" s="33"/>
      <c r="L131" s="3"/>
    </row>
    <row r="132">
      <c r="A132" s="35" t="str">
        <f t="shared" si="1"/>
        <v/>
      </c>
      <c r="B132" s="29" t="str">
        <f t="shared" si="2"/>
        <v/>
      </c>
      <c r="C132" s="29" t="str">
        <f t="shared" si="3"/>
        <v/>
      </c>
      <c r="D132" s="35" t="str">
        <f t="shared" si="4"/>
        <v/>
      </c>
      <c r="E132" s="30" t="str">
        <f t="shared" si="5"/>
        <v/>
      </c>
      <c r="I132" s="33"/>
      <c r="L132" s="3"/>
    </row>
    <row r="133">
      <c r="A133" s="35" t="str">
        <f t="shared" si="1"/>
        <v/>
      </c>
      <c r="B133" s="29" t="str">
        <f t="shared" si="2"/>
        <v/>
      </c>
      <c r="C133" s="29" t="str">
        <f t="shared" si="3"/>
        <v/>
      </c>
      <c r="D133" s="35" t="str">
        <f t="shared" si="4"/>
        <v/>
      </c>
      <c r="E133" s="30" t="str">
        <f t="shared" si="5"/>
        <v/>
      </c>
      <c r="I133" s="33"/>
      <c r="L133" s="3"/>
    </row>
    <row r="134">
      <c r="A134" s="35" t="str">
        <f t="shared" si="1"/>
        <v/>
      </c>
      <c r="B134" s="29" t="str">
        <f t="shared" si="2"/>
        <v/>
      </c>
      <c r="C134" s="29" t="str">
        <f t="shared" si="3"/>
        <v/>
      </c>
      <c r="D134" s="35" t="str">
        <f t="shared" si="4"/>
        <v/>
      </c>
      <c r="E134" s="30" t="str">
        <f t="shared" si="5"/>
        <v/>
      </c>
      <c r="I134" s="33"/>
      <c r="L134" s="3"/>
    </row>
    <row r="135">
      <c r="A135" s="35" t="str">
        <f t="shared" si="1"/>
        <v/>
      </c>
      <c r="B135" s="29" t="str">
        <f t="shared" si="2"/>
        <v/>
      </c>
      <c r="C135" s="29" t="str">
        <f t="shared" si="3"/>
        <v/>
      </c>
      <c r="D135" s="35" t="str">
        <f t="shared" si="4"/>
        <v/>
      </c>
      <c r="E135" s="30" t="str">
        <f t="shared" si="5"/>
        <v/>
      </c>
      <c r="I135" s="33"/>
      <c r="L135" s="3"/>
    </row>
    <row r="136">
      <c r="A136" s="35" t="str">
        <f t="shared" si="1"/>
        <v/>
      </c>
      <c r="B136" s="29" t="str">
        <f t="shared" si="2"/>
        <v/>
      </c>
      <c r="C136" s="29" t="str">
        <f t="shared" si="3"/>
        <v/>
      </c>
      <c r="D136" s="35" t="str">
        <f t="shared" si="4"/>
        <v/>
      </c>
      <c r="E136" s="30" t="str">
        <f t="shared" si="5"/>
        <v/>
      </c>
      <c r="I136" s="33"/>
      <c r="L136" s="3"/>
    </row>
    <row r="137">
      <c r="A137" s="35" t="str">
        <f t="shared" si="1"/>
        <v/>
      </c>
      <c r="B137" s="29" t="str">
        <f t="shared" si="2"/>
        <v/>
      </c>
      <c r="C137" s="29" t="str">
        <f t="shared" si="3"/>
        <v/>
      </c>
      <c r="D137" s="35" t="str">
        <f t="shared" si="4"/>
        <v/>
      </c>
      <c r="E137" s="30" t="str">
        <f t="shared" si="5"/>
        <v/>
      </c>
      <c r="I137" s="33"/>
      <c r="L137" s="3"/>
    </row>
    <row r="138">
      <c r="A138" s="35" t="str">
        <f t="shared" si="1"/>
        <v/>
      </c>
      <c r="B138" s="29" t="str">
        <f t="shared" si="2"/>
        <v/>
      </c>
      <c r="C138" s="29" t="str">
        <f t="shared" si="3"/>
        <v/>
      </c>
      <c r="D138" s="35" t="str">
        <f t="shared" si="4"/>
        <v/>
      </c>
      <c r="E138" s="30" t="str">
        <f t="shared" si="5"/>
        <v/>
      </c>
      <c r="I138" s="33"/>
      <c r="L138" s="3"/>
    </row>
    <row r="139">
      <c r="A139" s="35" t="str">
        <f t="shared" si="1"/>
        <v/>
      </c>
      <c r="B139" s="29" t="str">
        <f t="shared" si="2"/>
        <v/>
      </c>
      <c r="C139" s="29" t="str">
        <f t="shared" si="3"/>
        <v/>
      </c>
      <c r="D139" s="35" t="str">
        <f t="shared" si="4"/>
        <v/>
      </c>
      <c r="E139" s="30" t="str">
        <f t="shared" si="5"/>
        <v/>
      </c>
      <c r="I139" s="33"/>
      <c r="L139" s="3"/>
    </row>
    <row r="140">
      <c r="A140" s="35" t="str">
        <f t="shared" si="1"/>
        <v/>
      </c>
      <c r="B140" s="29" t="str">
        <f t="shared" si="2"/>
        <v/>
      </c>
      <c r="C140" s="29" t="str">
        <f t="shared" si="3"/>
        <v/>
      </c>
      <c r="D140" s="35" t="str">
        <f t="shared" si="4"/>
        <v/>
      </c>
      <c r="E140" s="30" t="str">
        <f t="shared" si="5"/>
        <v/>
      </c>
      <c r="I140" s="33"/>
      <c r="L140" s="3"/>
    </row>
    <row r="141">
      <c r="A141" s="35" t="str">
        <f t="shared" si="1"/>
        <v/>
      </c>
      <c r="B141" s="29" t="str">
        <f t="shared" si="2"/>
        <v/>
      </c>
      <c r="C141" s="29" t="str">
        <f t="shared" si="3"/>
        <v/>
      </c>
      <c r="D141" s="35" t="str">
        <f t="shared" si="4"/>
        <v/>
      </c>
      <c r="E141" s="30" t="str">
        <f t="shared" si="5"/>
        <v/>
      </c>
      <c r="I141" s="33"/>
      <c r="L141" s="3"/>
    </row>
    <row r="142">
      <c r="A142" s="35" t="str">
        <f t="shared" si="1"/>
        <v/>
      </c>
      <c r="B142" s="29" t="str">
        <f t="shared" si="2"/>
        <v/>
      </c>
      <c r="C142" s="29" t="str">
        <f t="shared" si="3"/>
        <v/>
      </c>
      <c r="D142" s="35" t="str">
        <f t="shared" si="4"/>
        <v/>
      </c>
      <c r="E142" s="30" t="str">
        <f t="shared" si="5"/>
        <v/>
      </c>
      <c r="I142" s="33"/>
      <c r="L142" s="3"/>
    </row>
    <row r="143">
      <c r="A143" s="35" t="str">
        <f t="shared" si="1"/>
        <v/>
      </c>
      <c r="B143" s="29" t="str">
        <f t="shared" si="2"/>
        <v/>
      </c>
      <c r="C143" s="29" t="str">
        <f t="shared" si="3"/>
        <v/>
      </c>
      <c r="D143" s="35" t="str">
        <f t="shared" si="4"/>
        <v/>
      </c>
      <c r="E143" s="30" t="str">
        <f t="shared" si="5"/>
        <v/>
      </c>
      <c r="I143" s="33"/>
      <c r="L143" s="3"/>
    </row>
    <row r="144">
      <c r="A144" s="35" t="str">
        <f t="shared" si="1"/>
        <v/>
      </c>
      <c r="B144" s="29" t="str">
        <f t="shared" si="2"/>
        <v/>
      </c>
      <c r="C144" s="29" t="str">
        <f t="shared" si="3"/>
        <v/>
      </c>
      <c r="D144" s="35" t="str">
        <f t="shared" si="4"/>
        <v/>
      </c>
      <c r="E144" s="30" t="str">
        <f t="shared" si="5"/>
        <v/>
      </c>
      <c r="I144" s="33"/>
      <c r="L144" s="3"/>
    </row>
    <row r="145">
      <c r="A145" s="35" t="str">
        <f t="shared" si="1"/>
        <v/>
      </c>
      <c r="B145" s="29" t="str">
        <f t="shared" si="2"/>
        <v/>
      </c>
      <c r="C145" s="29" t="str">
        <f t="shared" si="3"/>
        <v/>
      </c>
      <c r="D145" s="35" t="str">
        <f t="shared" si="4"/>
        <v/>
      </c>
      <c r="E145" s="30" t="str">
        <f t="shared" si="5"/>
        <v/>
      </c>
      <c r="I145" s="33"/>
      <c r="L145" s="3"/>
    </row>
    <row r="146">
      <c r="A146" s="35" t="str">
        <f t="shared" si="1"/>
        <v/>
      </c>
      <c r="B146" s="29" t="str">
        <f t="shared" si="2"/>
        <v/>
      </c>
      <c r="C146" s="29" t="str">
        <f t="shared" si="3"/>
        <v/>
      </c>
      <c r="D146" s="35" t="str">
        <f t="shared" si="4"/>
        <v/>
      </c>
      <c r="E146" s="30" t="str">
        <f t="shared" si="5"/>
        <v/>
      </c>
      <c r="I146" s="33"/>
      <c r="L146" s="3"/>
    </row>
    <row r="147">
      <c r="A147" s="35" t="str">
        <f t="shared" si="1"/>
        <v/>
      </c>
      <c r="B147" s="29" t="str">
        <f t="shared" si="2"/>
        <v/>
      </c>
      <c r="C147" s="29" t="str">
        <f t="shared" si="3"/>
        <v/>
      </c>
      <c r="D147" s="35" t="str">
        <f t="shared" si="4"/>
        <v/>
      </c>
      <c r="E147" s="30" t="str">
        <f t="shared" si="5"/>
        <v/>
      </c>
      <c r="I147" s="33"/>
      <c r="L147" s="3"/>
    </row>
    <row r="148">
      <c r="A148" s="35" t="str">
        <f t="shared" si="1"/>
        <v/>
      </c>
      <c r="B148" s="29" t="str">
        <f t="shared" si="2"/>
        <v/>
      </c>
      <c r="C148" s="29" t="str">
        <f t="shared" si="3"/>
        <v/>
      </c>
      <c r="D148" s="35" t="str">
        <f t="shared" si="4"/>
        <v/>
      </c>
      <c r="E148" s="30" t="str">
        <f t="shared" si="5"/>
        <v/>
      </c>
      <c r="I148" s="33"/>
      <c r="L148" s="3"/>
    </row>
    <row r="149">
      <c r="A149" s="35" t="str">
        <f t="shared" si="1"/>
        <v/>
      </c>
      <c r="B149" s="29" t="str">
        <f t="shared" si="2"/>
        <v/>
      </c>
      <c r="C149" s="29" t="str">
        <f t="shared" si="3"/>
        <v/>
      </c>
      <c r="D149" s="35" t="str">
        <f t="shared" si="4"/>
        <v/>
      </c>
      <c r="E149" s="30" t="str">
        <f t="shared" si="5"/>
        <v/>
      </c>
      <c r="I149" s="33"/>
      <c r="L149" s="3"/>
    </row>
    <row r="150">
      <c r="A150" s="35" t="str">
        <f t="shared" si="1"/>
        <v/>
      </c>
      <c r="B150" s="29" t="str">
        <f t="shared" si="2"/>
        <v/>
      </c>
      <c r="C150" s="29" t="str">
        <f t="shared" si="3"/>
        <v/>
      </c>
      <c r="D150" s="35" t="str">
        <f t="shared" si="4"/>
        <v/>
      </c>
      <c r="E150" s="30" t="str">
        <f t="shared" si="5"/>
        <v/>
      </c>
      <c r="I150" s="33"/>
      <c r="L150" s="3"/>
    </row>
    <row r="151">
      <c r="A151" s="35" t="str">
        <f t="shared" si="1"/>
        <v/>
      </c>
      <c r="B151" s="29" t="str">
        <f t="shared" si="2"/>
        <v/>
      </c>
      <c r="C151" s="29" t="str">
        <f t="shared" si="3"/>
        <v/>
      </c>
      <c r="D151" s="35" t="str">
        <f t="shared" si="4"/>
        <v/>
      </c>
      <c r="E151" s="30" t="str">
        <f t="shared" si="5"/>
        <v/>
      </c>
      <c r="I151" s="33"/>
      <c r="L151" s="3"/>
    </row>
    <row r="152">
      <c r="A152" s="35" t="str">
        <f t="shared" si="1"/>
        <v/>
      </c>
      <c r="B152" s="29" t="str">
        <f t="shared" si="2"/>
        <v/>
      </c>
      <c r="C152" s="29" t="str">
        <f t="shared" si="3"/>
        <v/>
      </c>
      <c r="D152" s="35" t="str">
        <f t="shared" si="4"/>
        <v/>
      </c>
      <c r="E152" s="30" t="str">
        <f t="shared" si="5"/>
        <v/>
      </c>
      <c r="I152" s="33"/>
      <c r="L152" s="3"/>
    </row>
    <row r="153">
      <c r="A153" s="35" t="str">
        <f t="shared" si="1"/>
        <v/>
      </c>
      <c r="B153" s="29" t="str">
        <f t="shared" si="2"/>
        <v/>
      </c>
      <c r="C153" s="29" t="str">
        <f t="shared" si="3"/>
        <v/>
      </c>
      <c r="D153" s="35" t="str">
        <f t="shared" si="4"/>
        <v/>
      </c>
      <c r="E153" s="30" t="str">
        <f t="shared" si="5"/>
        <v/>
      </c>
      <c r="I153" s="33"/>
      <c r="L153" s="3"/>
    </row>
    <row r="154">
      <c r="A154" s="35" t="str">
        <f t="shared" si="1"/>
        <v/>
      </c>
      <c r="B154" s="29" t="str">
        <f t="shared" si="2"/>
        <v/>
      </c>
      <c r="C154" s="29" t="str">
        <f t="shared" si="3"/>
        <v/>
      </c>
      <c r="D154" s="35" t="str">
        <f t="shared" si="4"/>
        <v/>
      </c>
      <c r="E154" s="30" t="str">
        <f t="shared" si="5"/>
        <v/>
      </c>
      <c r="I154" s="33"/>
      <c r="L154" s="3"/>
    </row>
    <row r="155">
      <c r="A155" s="35" t="str">
        <f t="shared" si="1"/>
        <v/>
      </c>
      <c r="B155" s="29" t="str">
        <f t="shared" si="2"/>
        <v/>
      </c>
      <c r="C155" s="29" t="str">
        <f t="shared" si="3"/>
        <v/>
      </c>
      <c r="D155" s="35" t="str">
        <f t="shared" si="4"/>
        <v/>
      </c>
      <c r="E155" s="30" t="str">
        <f t="shared" si="5"/>
        <v/>
      </c>
      <c r="I155" s="33"/>
      <c r="L155" s="3"/>
    </row>
    <row r="156">
      <c r="A156" s="35" t="str">
        <f t="shared" si="1"/>
        <v/>
      </c>
      <c r="B156" s="29" t="str">
        <f t="shared" si="2"/>
        <v/>
      </c>
      <c r="C156" s="29" t="str">
        <f t="shared" si="3"/>
        <v/>
      </c>
      <c r="D156" s="35" t="str">
        <f t="shared" si="4"/>
        <v/>
      </c>
      <c r="E156" s="30" t="str">
        <f t="shared" si="5"/>
        <v/>
      </c>
      <c r="I156" s="33"/>
      <c r="L156" s="3"/>
    </row>
    <row r="157">
      <c r="A157" s="35" t="str">
        <f t="shared" si="1"/>
        <v/>
      </c>
      <c r="B157" s="29" t="str">
        <f t="shared" si="2"/>
        <v/>
      </c>
      <c r="C157" s="29" t="str">
        <f t="shared" si="3"/>
        <v/>
      </c>
      <c r="D157" s="35" t="str">
        <f t="shared" si="4"/>
        <v/>
      </c>
      <c r="E157" s="30" t="str">
        <f t="shared" si="5"/>
        <v/>
      </c>
      <c r="I157" s="33"/>
      <c r="L157" s="3"/>
    </row>
    <row r="158">
      <c r="A158" s="35" t="str">
        <f t="shared" si="1"/>
        <v/>
      </c>
      <c r="B158" s="29" t="str">
        <f t="shared" si="2"/>
        <v/>
      </c>
      <c r="C158" s="29" t="str">
        <f t="shared" si="3"/>
        <v/>
      </c>
      <c r="D158" s="35" t="str">
        <f t="shared" si="4"/>
        <v/>
      </c>
      <c r="E158" s="30" t="str">
        <f t="shared" si="5"/>
        <v/>
      </c>
      <c r="I158" s="33"/>
      <c r="L158" s="3"/>
    </row>
    <row r="159">
      <c r="A159" s="35" t="str">
        <f t="shared" si="1"/>
        <v/>
      </c>
      <c r="B159" s="29" t="str">
        <f t="shared" si="2"/>
        <v/>
      </c>
      <c r="C159" s="29" t="str">
        <f t="shared" si="3"/>
        <v/>
      </c>
      <c r="D159" s="35" t="str">
        <f t="shared" si="4"/>
        <v/>
      </c>
      <c r="E159" s="30" t="str">
        <f t="shared" si="5"/>
        <v/>
      </c>
      <c r="I159" s="33"/>
      <c r="L159" s="3"/>
    </row>
    <row r="160">
      <c r="A160" s="35" t="str">
        <f t="shared" si="1"/>
        <v/>
      </c>
      <c r="B160" s="29" t="str">
        <f t="shared" si="2"/>
        <v/>
      </c>
      <c r="C160" s="29" t="str">
        <f t="shared" si="3"/>
        <v/>
      </c>
      <c r="D160" s="35" t="str">
        <f t="shared" si="4"/>
        <v/>
      </c>
      <c r="E160" s="30" t="str">
        <f t="shared" si="5"/>
        <v/>
      </c>
      <c r="I160" s="33"/>
      <c r="L160" s="3"/>
    </row>
    <row r="161">
      <c r="A161" s="35" t="str">
        <f t="shared" si="1"/>
        <v/>
      </c>
      <c r="B161" s="29" t="str">
        <f t="shared" si="2"/>
        <v/>
      </c>
      <c r="C161" s="29" t="str">
        <f t="shared" si="3"/>
        <v/>
      </c>
      <c r="D161" s="35" t="str">
        <f t="shared" si="4"/>
        <v/>
      </c>
      <c r="E161" s="30" t="str">
        <f t="shared" si="5"/>
        <v/>
      </c>
      <c r="I161" s="33"/>
      <c r="L161" s="3"/>
    </row>
    <row r="162">
      <c r="A162" s="35" t="str">
        <f t="shared" si="1"/>
        <v/>
      </c>
      <c r="B162" s="29" t="str">
        <f t="shared" si="2"/>
        <v/>
      </c>
      <c r="C162" s="29" t="str">
        <f t="shared" si="3"/>
        <v/>
      </c>
      <c r="D162" s="35" t="str">
        <f t="shared" si="4"/>
        <v/>
      </c>
      <c r="E162" s="30" t="str">
        <f t="shared" si="5"/>
        <v/>
      </c>
      <c r="I162" s="33"/>
      <c r="L162" s="3"/>
    </row>
    <row r="163">
      <c r="A163" s="35" t="str">
        <f t="shared" si="1"/>
        <v/>
      </c>
      <c r="B163" s="29" t="str">
        <f t="shared" si="2"/>
        <v/>
      </c>
      <c r="C163" s="29" t="str">
        <f t="shared" si="3"/>
        <v/>
      </c>
      <c r="D163" s="35" t="str">
        <f t="shared" si="4"/>
        <v/>
      </c>
      <c r="E163" s="30" t="str">
        <f t="shared" si="5"/>
        <v/>
      </c>
      <c r="I163" s="33"/>
      <c r="L163" s="3"/>
    </row>
    <row r="164">
      <c r="A164" s="35" t="str">
        <f t="shared" si="1"/>
        <v/>
      </c>
      <c r="B164" s="29" t="str">
        <f t="shared" si="2"/>
        <v/>
      </c>
      <c r="C164" s="29" t="str">
        <f t="shared" si="3"/>
        <v/>
      </c>
      <c r="D164" s="35" t="str">
        <f t="shared" si="4"/>
        <v/>
      </c>
      <c r="E164" s="30" t="str">
        <f t="shared" si="5"/>
        <v/>
      </c>
      <c r="I164" s="33"/>
      <c r="L164" s="3"/>
    </row>
    <row r="165">
      <c r="A165" s="35" t="str">
        <f t="shared" si="1"/>
        <v/>
      </c>
      <c r="B165" s="29" t="str">
        <f t="shared" si="2"/>
        <v/>
      </c>
      <c r="C165" s="29" t="str">
        <f t="shared" si="3"/>
        <v/>
      </c>
      <c r="D165" s="35" t="str">
        <f t="shared" si="4"/>
        <v/>
      </c>
      <c r="E165" s="30" t="str">
        <f t="shared" si="5"/>
        <v/>
      </c>
      <c r="I165" s="33"/>
      <c r="L165" s="3"/>
    </row>
    <row r="166">
      <c r="A166" s="35" t="str">
        <f t="shared" si="1"/>
        <v/>
      </c>
      <c r="B166" s="29" t="str">
        <f t="shared" si="2"/>
        <v/>
      </c>
      <c r="C166" s="29" t="str">
        <f t="shared" si="3"/>
        <v/>
      </c>
      <c r="D166" s="35" t="str">
        <f t="shared" si="4"/>
        <v/>
      </c>
      <c r="E166" s="30" t="str">
        <f t="shared" si="5"/>
        <v/>
      </c>
      <c r="I166" s="33"/>
      <c r="L166" s="3"/>
    </row>
    <row r="167">
      <c r="A167" s="35" t="str">
        <f t="shared" si="1"/>
        <v/>
      </c>
      <c r="B167" s="29" t="str">
        <f t="shared" si="2"/>
        <v/>
      </c>
      <c r="C167" s="29" t="str">
        <f t="shared" si="3"/>
        <v/>
      </c>
      <c r="D167" s="35" t="str">
        <f t="shared" si="4"/>
        <v/>
      </c>
      <c r="E167" s="30" t="str">
        <f t="shared" si="5"/>
        <v/>
      </c>
      <c r="I167" s="33"/>
      <c r="L167" s="3"/>
    </row>
    <row r="168">
      <c r="A168" s="35" t="str">
        <f t="shared" si="1"/>
        <v/>
      </c>
      <c r="B168" s="29" t="str">
        <f t="shared" si="2"/>
        <v/>
      </c>
      <c r="C168" s="29" t="str">
        <f t="shared" si="3"/>
        <v/>
      </c>
      <c r="D168" s="35" t="str">
        <f t="shared" si="4"/>
        <v/>
      </c>
      <c r="E168" s="30" t="str">
        <f t="shared" si="5"/>
        <v/>
      </c>
      <c r="I168" s="33"/>
      <c r="L168" s="3"/>
    </row>
    <row r="169">
      <c r="A169" s="35" t="str">
        <f t="shared" si="1"/>
        <v/>
      </c>
      <c r="B169" s="29" t="str">
        <f t="shared" si="2"/>
        <v/>
      </c>
      <c r="C169" s="29" t="str">
        <f t="shared" si="3"/>
        <v/>
      </c>
      <c r="D169" s="35" t="str">
        <f t="shared" si="4"/>
        <v/>
      </c>
      <c r="E169" s="30" t="str">
        <f t="shared" si="5"/>
        <v/>
      </c>
      <c r="I169" s="33"/>
      <c r="L169" s="3"/>
    </row>
    <row r="170">
      <c r="A170" s="35" t="str">
        <f t="shared" si="1"/>
        <v/>
      </c>
      <c r="B170" s="29" t="str">
        <f t="shared" si="2"/>
        <v/>
      </c>
      <c r="C170" s="29" t="str">
        <f t="shared" si="3"/>
        <v/>
      </c>
      <c r="D170" s="35" t="str">
        <f t="shared" si="4"/>
        <v/>
      </c>
      <c r="E170" s="30" t="str">
        <f t="shared" si="5"/>
        <v/>
      </c>
      <c r="I170" s="33"/>
      <c r="L170" s="3"/>
    </row>
    <row r="171">
      <c r="A171" s="35" t="str">
        <f t="shared" si="1"/>
        <v/>
      </c>
      <c r="B171" s="29" t="str">
        <f t="shared" si="2"/>
        <v/>
      </c>
      <c r="C171" s="29" t="str">
        <f t="shared" si="3"/>
        <v/>
      </c>
      <c r="D171" s="35" t="str">
        <f t="shared" si="4"/>
        <v/>
      </c>
      <c r="E171" s="30" t="str">
        <f t="shared" si="5"/>
        <v/>
      </c>
      <c r="I171" s="33"/>
      <c r="L171" s="3"/>
    </row>
    <row r="172">
      <c r="A172" s="35" t="str">
        <f t="shared" si="1"/>
        <v/>
      </c>
      <c r="B172" s="29" t="str">
        <f t="shared" si="2"/>
        <v/>
      </c>
      <c r="C172" s="29" t="str">
        <f t="shared" si="3"/>
        <v/>
      </c>
      <c r="D172" s="35" t="str">
        <f t="shared" si="4"/>
        <v/>
      </c>
      <c r="E172" s="30" t="str">
        <f t="shared" si="5"/>
        <v/>
      </c>
      <c r="I172" s="33"/>
      <c r="L172" s="3"/>
    </row>
    <row r="173">
      <c r="A173" s="35" t="str">
        <f t="shared" si="1"/>
        <v/>
      </c>
      <c r="B173" s="29" t="str">
        <f t="shared" si="2"/>
        <v/>
      </c>
      <c r="C173" s="29" t="str">
        <f t="shared" si="3"/>
        <v/>
      </c>
      <c r="D173" s="35" t="str">
        <f t="shared" si="4"/>
        <v/>
      </c>
      <c r="E173" s="30" t="str">
        <f t="shared" si="5"/>
        <v/>
      </c>
      <c r="I173" s="33"/>
      <c r="L173" s="3"/>
    </row>
    <row r="174">
      <c r="A174" s="35" t="str">
        <f t="shared" si="1"/>
        <v/>
      </c>
      <c r="B174" s="29" t="str">
        <f t="shared" si="2"/>
        <v/>
      </c>
      <c r="C174" s="29" t="str">
        <f t="shared" si="3"/>
        <v/>
      </c>
      <c r="D174" s="35" t="str">
        <f t="shared" si="4"/>
        <v/>
      </c>
      <c r="E174" s="30" t="str">
        <f t="shared" si="5"/>
        <v/>
      </c>
      <c r="I174" s="33"/>
      <c r="L174" s="3"/>
    </row>
    <row r="175">
      <c r="A175" s="35" t="str">
        <f t="shared" si="1"/>
        <v/>
      </c>
      <c r="B175" s="29" t="str">
        <f t="shared" si="2"/>
        <v/>
      </c>
      <c r="C175" s="29" t="str">
        <f t="shared" si="3"/>
        <v/>
      </c>
      <c r="D175" s="35" t="str">
        <f t="shared" si="4"/>
        <v/>
      </c>
      <c r="E175" s="30" t="str">
        <f t="shared" si="5"/>
        <v/>
      </c>
      <c r="I175" s="33"/>
      <c r="L175" s="3"/>
    </row>
    <row r="176">
      <c r="A176" s="35" t="str">
        <f t="shared" si="1"/>
        <v/>
      </c>
      <c r="B176" s="29" t="str">
        <f t="shared" si="2"/>
        <v/>
      </c>
      <c r="C176" s="29" t="str">
        <f t="shared" si="3"/>
        <v/>
      </c>
      <c r="D176" s="35" t="str">
        <f t="shared" si="4"/>
        <v/>
      </c>
      <c r="E176" s="30" t="str">
        <f t="shared" si="5"/>
        <v/>
      </c>
      <c r="I176" s="33"/>
      <c r="L176" s="3"/>
    </row>
    <row r="177">
      <c r="A177" s="35" t="str">
        <f t="shared" si="1"/>
        <v/>
      </c>
      <c r="B177" s="29" t="str">
        <f t="shared" si="2"/>
        <v/>
      </c>
      <c r="C177" s="29" t="str">
        <f t="shared" si="3"/>
        <v/>
      </c>
      <c r="D177" s="35" t="str">
        <f t="shared" si="4"/>
        <v/>
      </c>
      <c r="E177" s="30" t="str">
        <f t="shared" si="5"/>
        <v/>
      </c>
      <c r="I177" s="33"/>
      <c r="L177" s="3"/>
    </row>
    <row r="178">
      <c r="A178" s="35" t="str">
        <f t="shared" si="1"/>
        <v/>
      </c>
      <c r="B178" s="29" t="str">
        <f t="shared" si="2"/>
        <v/>
      </c>
      <c r="C178" s="29" t="str">
        <f t="shared" si="3"/>
        <v/>
      </c>
      <c r="D178" s="35" t="str">
        <f t="shared" si="4"/>
        <v/>
      </c>
      <c r="E178" s="30" t="str">
        <f t="shared" si="5"/>
        <v/>
      </c>
      <c r="I178" s="33"/>
      <c r="L178" s="3"/>
    </row>
    <row r="179">
      <c r="A179" s="35" t="str">
        <f t="shared" si="1"/>
        <v/>
      </c>
      <c r="B179" s="29" t="str">
        <f t="shared" si="2"/>
        <v/>
      </c>
      <c r="C179" s="29" t="str">
        <f t="shared" si="3"/>
        <v/>
      </c>
      <c r="D179" s="35" t="str">
        <f t="shared" si="4"/>
        <v/>
      </c>
      <c r="E179" s="30" t="str">
        <f t="shared" si="5"/>
        <v/>
      </c>
      <c r="I179" s="33"/>
      <c r="L179" s="3"/>
    </row>
    <row r="180">
      <c r="A180" s="35" t="str">
        <f t="shared" si="1"/>
        <v/>
      </c>
      <c r="B180" s="29" t="str">
        <f t="shared" si="2"/>
        <v/>
      </c>
      <c r="C180" s="29" t="str">
        <f t="shared" si="3"/>
        <v/>
      </c>
      <c r="D180" s="35" t="str">
        <f t="shared" si="4"/>
        <v/>
      </c>
      <c r="E180" s="30" t="str">
        <f t="shared" si="5"/>
        <v/>
      </c>
      <c r="I180" s="33"/>
      <c r="L180" s="3"/>
    </row>
    <row r="181">
      <c r="A181" s="35" t="str">
        <f t="shared" si="1"/>
        <v/>
      </c>
      <c r="B181" s="29" t="str">
        <f t="shared" si="2"/>
        <v/>
      </c>
      <c r="C181" s="29" t="str">
        <f t="shared" si="3"/>
        <v/>
      </c>
      <c r="D181" s="35" t="str">
        <f t="shared" si="4"/>
        <v/>
      </c>
      <c r="E181" s="30" t="str">
        <f t="shared" si="5"/>
        <v/>
      </c>
      <c r="I181" s="33"/>
      <c r="L181" s="3"/>
    </row>
    <row r="182">
      <c r="A182" s="35" t="str">
        <f t="shared" si="1"/>
        <v/>
      </c>
      <c r="B182" s="29" t="str">
        <f t="shared" si="2"/>
        <v/>
      </c>
      <c r="C182" s="29" t="str">
        <f t="shared" si="3"/>
        <v/>
      </c>
      <c r="D182" s="35" t="str">
        <f t="shared" si="4"/>
        <v/>
      </c>
      <c r="E182" s="30" t="str">
        <f t="shared" si="5"/>
        <v/>
      </c>
      <c r="I182" s="33"/>
      <c r="L182" s="3"/>
    </row>
    <row r="183">
      <c r="A183" s="35" t="str">
        <f t="shared" si="1"/>
        <v/>
      </c>
      <c r="B183" s="29" t="str">
        <f t="shared" si="2"/>
        <v/>
      </c>
      <c r="C183" s="29" t="str">
        <f t="shared" si="3"/>
        <v/>
      </c>
      <c r="D183" s="35" t="str">
        <f t="shared" si="4"/>
        <v/>
      </c>
      <c r="E183" s="30" t="str">
        <f t="shared" si="5"/>
        <v/>
      </c>
      <c r="I183" s="33"/>
      <c r="L183" s="3"/>
    </row>
    <row r="184">
      <c r="A184" s="35" t="str">
        <f t="shared" si="1"/>
        <v/>
      </c>
      <c r="B184" s="29" t="str">
        <f t="shared" si="2"/>
        <v/>
      </c>
      <c r="C184" s="29" t="str">
        <f t="shared" si="3"/>
        <v/>
      </c>
      <c r="D184" s="35" t="str">
        <f t="shared" si="4"/>
        <v/>
      </c>
      <c r="E184" s="30" t="str">
        <f t="shared" si="5"/>
        <v/>
      </c>
      <c r="I184" s="33"/>
      <c r="L184" s="3"/>
    </row>
    <row r="185">
      <c r="A185" s="35" t="str">
        <f t="shared" si="1"/>
        <v/>
      </c>
      <c r="B185" s="29" t="str">
        <f t="shared" si="2"/>
        <v/>
      </c>
      <c r="C185" s="29" t="str">
        <f t="shared" si="3"/>
        <v/>
      </c>
      <c r="D185" s="35" t="str">
        <f t="shared" si="4"/>
        <v/>
      </c>
      <c r="E185" s="30" t="str">
        <f t="shared" si="5"/>
        <v/>
      </c>
      <c r="I185" s="33"/>
      <c r="L185" s="3"/>
    </row>
    <row r="186">
      <c r="A186" s="35" t="str">
        <f t="shared" si="1"/>
        <v/>
      </c>
      <c r="B186" s="29" t="str">
        <f t="shared" si="2"/>
        <v/>
      </c>
      <c r="C186" s="29" t="str">
        <f t="shared" si="3"/>
        <v/>
      </c>
      <c r="D186" s="35" t="str">
        <f t="shared" si="4"/>
        <v/>
      </c>
      <c r="E186" s="30" t="str">
        <f t="shared" si="5"/>
        <v/>
      </c>
      <c r="I186" s="33"/>
      <c r="L186" s="3"/>
    </row>
    <row r="187">
      <c r="A187" s="35" t="str">
        <f t="shared" si="1"/>
        <v/>
      </c>
      <c r="B187" s="29" t="str">
        <f t="shared" si="2"/>
        <v/>
      </c>
      <c r="C187" s="29" t="str">
        <f t="shared" si="3"/>
        <v/>
      </c>
      <c r="D187" s="35" t="str">
        <f t="shared" si="4"/>
        <v/>
      </c>
      <c r="E187" s="30" t="str">
        <f t="shared" si="5"/>
        <v/>
      </c>
      <c r="I187" s="33"/>
      <c r="L187" s="3"/>
    </row>
    <row r="188">
      <c r="A188" s="35" t="str">
        <f t="shared" si="1"/>
        <v/>
      </c>
      <c r="B188" s="29" t="str">
        <f t="shared" si="2"/>
        <v/>
      </c>
      <c r="C188" s="29" t="str">
        <f t="shared" si="3"/>
        <v/>
      </c>
      <c r="D188" s="35" t="str">
        <f t="shared" si="4"/>
        <v/>
      </c>
      <c r="E188" s="30" t="str">
        <f t="shared" si="5"/>
        <v/>
      </c>
      <c r="I188" s="33"/>
      <c r="L188" s="3"/>
    </row>
    <row r="189">
      <c r="A189" s="35" t="str">
        <f t="shared" si="1"/>
        <v/>
      </c>
      <c r="B189" s="29" t="str">
        <f t="shared" si="2"/>
        <v/>
      </c>
      <c r="C189" s="29" t="str">
        <f t="shared" si="3"/>
        <v/>
      </c>
      <c r="D189" s="35" t="str">
        <f t="shared" si="4"/>
        <v/>
      </c>
      <c r="E189" s="30" t="str">
        <f t="shared" si="5"/>
        <v/>
      </c>
      <c r="I189" s="33"/>
      <c r="L189" s="3"/>
    </row>
    <row r="190">
      <c r="A190" s="35" t="str">
        <f t="shared" si="1"/>
        <v/>
      </c>
      <c r="B190" s="29" t="str">
        <f t="shared" si="2"/>
        <v/>
      </c>
      <c r="C190" s="29" t="str">
        <f t="shared" si="3"/>
        <v/>
      </c>
      <c r="D190" s="35" t="str">
        <f t="shared" si="4"/>
        <v/>
      </c>
      <c r="E190" s="30" t="str">
        <f t="shared" si="5"/>
        <v/>
      </c>
      <c r="I190" s="33"/>
      <c r="L190" s="3"/>
    </row>
    <row r="191">
      <c r="A191" s="35" t="str">
        <f t="shared" si="1"/>
        <v/>
      </c>
      <c r="B191" s="29" t="str">
        <f t="shared" si="2"/>
        <v/>
      </c>
      <c r="C191" s="29" t="str">
        <f t="shared" si="3"/>
        <v/>
      </c>
      <c r="D191" s="35" t="str">
        <f t="shared" si="4"/>
        <v/>
      </c>
      <c r="E191" s="30" t="str">
        <f t="shared" si="5"/>
        <v/>
      </c>
      <c r="I191" s="33"/>
      <c r="L191" s="3"/>
    </row>
    <row r="192">
      <c r="A192" s="35" t="str">
        <f t="shared" si="1"/>
        <v/>
      </c>
      <c r="B192" s="29" t="str">
        <f t="shared" si="2"/>
        <v/>
      </c>
      <c r="C192" s="29" t="str">
        <f t="shared" si="3"/>
        <v/>
      </c>
      <c r="D192" s="35" t="str">
        <f t="shared" si="4"/>
        <v/>
      </c>
      <c r="E192" s="2" t="str">
        <f t="shared" si="5"/>
        <v/>
      </c>
      <c r="L192" s="3"/>
    </row>
    <row r="193">
      <c r="A193" s="35" t="str">
        <f t="shared" si="1"/>
        <v/>
      </c>
      <c r="B193" s="29" t="str">
        <f t="shared" si="2"/>
        <v/>
      </c>
      <c r="C193" s="29" t="str">
        <f t="shared" si="3"/>
        <v/>
      </c>
      <c r="D193" s="35" t="str">
        <f t="shared" si="4"/>
        <v/>
      </c>
      <c r="E193" s="2" t="str">
        <f t="shared" si="5"/>
        <v/>
      </c>
      <c r="L193" s="3"/>
    </row>
    <row r="194">
      <c r="A194" s="35" t="str">
        <f t="shared" si="1"/>
        <v/>
      </c>
      <c r="B194" s="29" t="str">
        <f t="shared" si="2"/>
        <v/>
      </c>
      <c r="C194" s="29" t="str">
        <f t="shared" si="3"/>
        <v/>
      </c>
      <c r="D194" s="35" t="str">
        <f t="shared" si="4"/>
        <v/>
      </c>
      <c r="E194" s="2" t="str">
        <f t="shared" si="5"/>
        <v/>
      </c>
      <c r="L194" s="3"/>
    </row>
    <row r="195">
      <c r="A195" s="35" t="str">
        <f t="shared" si="1"/>
        <v/>
      </c>
      <c r="B195" s="29" t="str">
        <f t="shared" si="2"/>
        <v/>
      </c>
      <c r="C195" s="29" t="str">
        <f t="shared" si="3"/>
        <v/>
      </c>
      <c r="D195" s="35" t="str">
        <f t="shared" si="4"/>
        <v/>
      </c>
      <c r="E195" s="2" t="str">
        <f t="shared" si="5"/>
        <v/>
      </c>
      <c r="L195" s="3"/>
    </row>
    <row r="196">
      <c r="A196" s="35" t="str">
        <f t="shared" si="1"/>
        <v/>
      </c>
      <c r="B196" s="29" t="str">
        <f t="shared" si="2"/>
        <v/>
      </c>
      <c r="C196" s="29" t="str">
        <f t="shared" si="3"/>
        <v/>
      </c>
      <c r="D196" s="35" t="str">
        <f t="shared" si="4"/>
        <v/>
      </c>
      <c r="E196" s="2" t="str">
        <f t="shared" si="5"/>
        <v/>
      </c>
      <c r="L196" s="3"/>
    </row>
    <row r="197">
      <c r="A197" s="35" t="str">
        <f t="shared" si="1"/>
        <v/>
      </c>
      <c r="B197" s="29" t="str">
        <f t="shared" si="2"/>
        <v/>
      </c>
      <c r="C197" s="29" t="str">
        <f t="shared" si="3"/>
        <v/>
      </c>
      <c r="D197" s="35" t="str">
        <f t="shared" si="4"/>
        <v/>
      </c>
      <c r="E197" s="2" t="str">
        <f t="shared" si="5"/>
        <v/>
      </c>
      <c r="L197" s="3"/>
    </row>
    <row r="198">
      <c r="A198" s="35" t="str">
        <f t="shared" si="1"/>
        <v/>
      </c>
      <c r="B198" s="29" t="str">
        <f t="shared" si="2"/>
        <v/>
      </c>
      <c r="C198" s="29" t="str">
        <f t="shared" si="3"/>
        <v/>
      </c>
      <c r="D198" s="35" t="str">
        <f t="shared" si="4"/>
        <v/>
      </c>
      <c r="E198" s="2" t="str">
        <f t="shared" si="5"/>
        <v/>
      </c>
      <c r="L198" s="3"/>
    </row>
    <row r="199">
      <c r="A199" s="35" t="str">
        <f t="shared" si="1"/>
        <v/>
      </c>
      <c r="B199" s="29" t="str">
        <f t="shared" si="2"/>
        <v/>
      </c>
      <c r="C199" s="29" t="str">
        <f t="shared" si="3"/>
        <v/>
      </c>
      <c r="D199" s="35" t="str">
        <f t="shared" si="4"/>
        <v/>
      </c>
      <c r="E199" s="2" t="str">
        <f t="shared" si="5"/>
        <v/>
      </c>
      <c r="L199" s="3"/>
    </row>
    <row r="200">
      <c r="A200" s="35" t="str">
        <f t="shared" si="1"/>
        <v/>
      </c>
      <c r="B200" s="29" t="str">
        <f t="shared" si="2"/>
        <v/>
      </c>
      <c r="C200" s="29" t="str">
        <f t="shared" si="3"/>
        <v/>
      </c>
      <c r="D200" s="35" t="str">
        <f t="shared" si="4"/>
        <v/>
      </c>
      <c r="E200" s="2" t="str">
        <f t="shared" si="5"/>
        <v/>
      </c>
      <c r="L200" s="3"/>
    </row>
    <row r="201">
      <c r="A201" s="35" t="str">
        <f t="shared" si="1"/>
        <v/>
      </c>
      <c r="B201" s="29" t="str">
        <f t="shared" si="2"/>
        <v/>
      </c>
      <c r="C201" s="29" t="str">
        <f t="shared" si="3"/>
        <v/>
      </c>
      <c r="D201" s="35" t="str">
        <f t="shared" si="4"/>
        <v/>
      </c>
      <c r="E201" s="2" t="str">
        <f t="shared" si="5"/>
        <v/>
      </c>
      <c r="L201" s="3"/>
    </row>
    <row r="202">
      <c r="A202" s="35" t="str">
        <f t="shared" si="1"/>
        <v/>
      </c>
      <c r="B202" s="29" t="str">
        <f t="shared" si="2"/>
        <v/>
      </c>
      <c r="C202" s="29" t="str">
        <f t="shared" si="3"/>
        <v/>
      </c>
      <c r="D202" s="35" t="str">
        <f t="shared" si="4"/>
        <v/>
      </c>
      <c r="E202" s="2" t="str">
        <f t="shared" si="5"/>
        <v/>
      </c>
      <c r="L202" s="3"/>
    </row>
    <row r="203">
      <c r="A203" s="35" t="str">
        <f t="shared" si="1"/>
        <v/>
      </c>
      <c r="B203" s="29" t="str">
        <f t="shared" si="2"/>
        <v/>
      </c>
      <c r="C203" s="29" t="str">
        <f t="shared" si="3"/>
        <v/>
      </c>
      <c r="D203" s="35" t="str">
        <f t="shared" si="4"/>
        <v/>
      </c>
      <c r="E203" s="2" t="str">
        <f t="shared" si="5"/>
        <v/>
      </c>
      <c r="L203" s="3"/>
    </row>
    <row r="204">
      <c r="A204" s="35" t="str">
        <f t="shared" si="1"/>
        <v/>
      </c>
      <c r="B204" s="29" t="str">
        <f t="shared" si="2"/>
        <v/>
      </c>
      <c r="C204" s="29" t="str">
        <f t="shared" si="3"/>
        <v/>
      </c>
      <c r="D204" s="35" t="str">
        <f t="shared" si="4"/>
        <v/>
      </c>
      <c r="E204" s="2" t="str">
        <f t="shared" si="5"/>
        <v/>
      </c>
      <c r="L204" s="3"/>
    </row>
    <row r="205">
      <c r="A205" s="35" t="str">
        <f t="shared" si="1"/>
        <v/>
      </c>
      <c r="B205" s="29" t="str">
        <f t="shared" si="2"/>
        <v/>
      </c>
      <c r="C205" s="29" t="str">
        <f t="shared" si="3"/>
        <v/>
      </c>
      <c r="D205" s="35" t="str">
        <f t="shared" si="4"/>
        <v/>
      </c>
      <c r="E205" s="2" t="str">
        <f t="shared" si="5"/>
        <v/>
      </c>
      <c r="L205" s="3"/>
    </row>
  </sheetData>
  <mergeCells count="6">
    <mergeCell ref="A1:D1"/>
    <mergeCell ref="D2:H2"/>
    <mergeCell ref="A4:E4"/>
    <mergeCell ref="A6:B6"/>
    <mergeCell ref="D6:H6"/>
    <mergeCell ref="A7:B7"/>
  </mergeCells>
  <hyperlinks>
    <hyperlink r:id="rId1" ref="A2"/>
    <hyperlink r:id="rId2" ref="A4"/>
    <hyperlink r:id="rId3" ref="G10"/>
    <hyperlink r:id="rId4" ref="L10"/>
    <hyperlink r:id="rId5" ref="M10"/>
    <hyperlink r:id="rId6" ref="G11"/>
    <hyperlink r:id="rId7" ref="L11"/>
    <hyperlink r:id="rId8" ref="M11"/>
    <hyperlink r:id="rId9" ref="G12"/>
    <hyperlink r:id="rId10" ref="L12"/>
    <hyperlink r:id="rId11" ref="M12"/>
    <hyperlink r:id="rId12" ref="G13"/>
    <hyperlink r:id="rId13" ref="L13"/>
    <hyperlink r:id="rId14" ref="M13"/>
    <hyperlink r:id="rId15" ref="G14"/>
    <hyperlink r:id="rId16" ref="L14"/>
    <hyperlink r:id="rId17" ref="M14"/>
    <hyperlink r:id="rId18" ref="G15"/>
    <hyperlink r:id="rId19" ref="L15"/>
    <hyperlink r:id="rId20" ref="M15"/>
    <hyperlink r:id="rId21" ref="G16"/>
    <hyperlink r:id="rId22" ref="L16"/>
    <hyperlink r:id="rId23" ref="M16"/>
    <hyperlink r:id="rId24" location="press" ref="G17"/>
    <hyperlink r:id="rId25" ref="L17"/>
    <hyperlink r:id="rId26" ref="M17"/>
    <hyperlink r:id="rId27" ref="G18"/>
    <hyperlink r:id="rId28" ref="L18"/>
    <hyperlink r:id="rId29" ref="M18"/>
    <hyperlink r:id="rId30" ref="G19"/>
    <hyperlink r:id="rId31" ref="L19"/>
    <hyperlink r:id="rId32" ref="M19"/>
    <hyperlink r:id="rId33" ref="G20"/>
    <hyperlink r:id="rId34" ref="L20"/>
    <hyperlink r:id="rId35" ref="M20"/>
    <hyperlink r:id="rId36" ref="G21"/>
    <hyperlink r:id="rId37" ref="L21"/>
    <hyperlink r:id="rId38" ref="M21"/>
    <hyperlink r:id="rId39" ref="G22"/>
    <hyperlink r:id="rId40" ref="L22"/>
    <hyperlink r:id="rId41" ref="M22"/>
    <hyperlink r:id="rId42" ref="G23"/>
    <hyperlink r:id="rId43" ref="L23"/>
    <hyperlink r:id="rId44" ref="M23"/>
    <hyperlink r:id="rId45" ref="G24"/>
    <hyperlink r:id="rId46" ref="L24"/>
    <hyperlink r:id="rId47" ref="M24"/>
    <hyperlink r:id="rId48" ref="G25"/>
    <hyperlink r:id="rId49" ref="L25"/>
    <hyperlink r:id="rId50" ref="M25"/>
    <hyperlink r:id="rId51" ref="G26"/>
    <hyperlink r:id="rId52" ref="L26"/>
    <hyperlink r:id="rId53" ref="M26"/>
    <hyperlink r:id="rId54" ref="G27"/>
    <hyperlink r:id="rId55" ref="L27"/>
    <hyperlink r:id="rId56" ref="M27"/>
    <hyperlink r:id="rId57" ref="G28"/>
    <hyperlink r:id="rId58" ref="L28"/>
    <hyperlink r:id="rId59" ref="M28"/>
    <hyperlink r:id="rId60" ref="G29"/>
    <hyperlink r:id="rId61" ref="L29"/>
    <hyperlink r:id="rId62" ref="M29"/>
    <hyperlink r:id="rId63" ref="G30"/>
    <hyperlink r:id="rId64" ref="L30"/>
    <hyperlink r:id="rId65" ref="M30"/>
    <hyperlink r:id="rId66" ref="G31"/>
    <hyperlink r:id="rId67" ref="L31"/>
    <hyperlink r:id="rId68" ref="M31"/>
    <hyperlink r:id="rId69" ref="G32"/>
    <hyperlink r:id="rId70" ref="L32"/>
    <hyperlink r:id="rId71" ref="M32"/>
    <hyperlink r:id="rId72" ref="G33"/>
    <hyperlink r:id="rId73" ref="L33"/>
    <hyperlink r:id="rId74" ref="M33"/>
    <hyperlink r:id="rId75" ref="G34"/>
    <hyperlink r:id="rId76" ref="L34"/>
    <hyperlink r:id="rId77" ref="M34"/>
    <hyperlink r:id="rId78" ref="G35"/>
    <hyperlink r:id="rId79" ref="L35"/>
    <hyperlink r:id="rId80" ref="M35"/>
    <hyperlink r:id="rId81" ref="G36"/>
    <hyperlink r:id="rId82" ref="L36"/>
    <hyperlink r:id="rId83" ref="M36"/>
    <hyperlink r:id="rId84" ref="G37"/>
    <hyperlink r:id="rId85" ref="L37"/>
    <hyperlink r:id="rId86" ref="M37"/>
    <hyperlink r:id="rId87" ref="G38"/>
    <hyperlink r:id="rId88" ref="L38"/>
    <hyperlink r:id="rId89" ref="M38"/>
    <hyperlink r:id="rId90" ref="G39"/>
    <hyperlink r:id="rId91" ref="L39"/>
    <hyperlink r:id="rId92" ref="M39"/>
    <hyperlink r:id="rId93" ref="G40"/>
    <hyperlink r:id="rId94" ref="L40"/>
    <hyperlink r:id="rId95" ref="M40"/>
    <hyperlink r:id="rId96" ref="G41"/>
    <hyperlink r:id="rId97" ref="L41"/>
    <hyperlink r:id="rId98" ref="M41"/>
    <hyperlink r:id="rId99" ref="G42"/>
    <hyperlink r:id="rId100" ref="L42"/>
    <hyperlink r:id="rId101" ref="M42"/>
    <hyperlink r:id="rId102" ref="G43"/>
    <hyperlink r:id="rId103" ref="L43"/>
    <hyperlink r:id="rId104" ref="M43"/>
    <hyperlink r:id="rId105" ref="G44"/>
    <hyperlink r:id="rId106" ref="L44"/>
    <hyperlink r:id="rId107" ref="M44"/>
    <hyperlink r:id="rId108" ref="G45"/>
    <hyperlink r:id="rId109" ref="L45"/>
    <hyperlink r:id="rId110" ref="M45"/>
    <hyperlink r:id="rId111" ref="G46"/>
    <hyperlink r:id="rId112" ref="L46"/>
    <hyperlink r:id="rId113" ref="M46"/>
    <hyperlink r:id="rId114" ref="G47"/>
    <hyperlink r:id="rId115" ref="L47"/>
    <hyperlink r:id="rId116" ref="M47"/>
    <hyperlink r:id="rId117" ref="G48"/>
    <hyperlink r:id="rId118" ref="L48"/>
    <hyperlink r:id="rId119" ref="M48"/>
    <hyperlink r:id="rId120" ref="G49"/>
    <hyperlink r:id="rId121" ref="L49"/>
    <hyperlink r:id="rId122" ref="M49"/>
    <hyperlink r:id="rId123" ref="G50"/>
    <hyperlink r:id="rId124" ref="L50"/>
    <hyperlink r:id="rId125" ref="M50"/>
    <hyperlink r:id="rId126" ref="G51"/>
    <hyperlink r:id="rId127" ref="L51"/>
    <hyperlink r:id="rId128" ref="M51"/>
    <hyperlink r:id="rId129" ref="G52"/>
    <hyperlink r:id="rId130" ref="L52"/>
    <hyperlink r:id="rId131" ref="M52"/>
    <hyperlink r:id="rId132" ref="G53"/>
    <hyperlink r:id="rId133" ref="L53"/>
    <hyperlink r:id="rId134" ref="M53"/>
    <hyperlink r:id="rId135" ref="G54"/>
    <hyperlink r:id="rId136" ref="L54"/>
    <hyperlink r:id="rId137" ref="M54"/>
    <hyperlink r:id="rId138" ref="G55"/>
    <hyperlink r:id="rId139" ref="L55"/>
    <hyperlink r:id="rId140" ref="M55"/>
    <hyperlink r:id="rId141" ref="L56"/>
    <hyperlink r:id="rId142" ref="M56"/>
    <hyperlink r:id="rId143" ref="G57"/>
    <hyperlink r:id="rId144" ref="L57"/>
    <hyperlink r:id="rId145" ref="M57"/>
    <hyperlink r:id="rId146" ref="G58"/>
    <hyperlink r:id="rId147" ref="L58"/>
    <hyperlink r:id="rId148" ref="M58"/>
    <hyperlink r:id="rId149" ref="G59"/>
    <hyperlink r:id="rId150" ref="L59"/>
    <hyperlink r:id="rId151" ref="M59"/>
    <hyperlink r:id="rId152" ref="G60"/>
    <hyperlink r:id="rId153" ref="L60"/>
    <hyperlink r:id="rId154" ref="M60"/>
    <hyperlink r:id="rId155" ref="G61"/>
    <hyperlink r:id="rId156" ref="L61"/>
    <hyperlink r:id="rId157" ref="M61"/>
    <hyperlink r:id="rId158" ref="G62"/>
    <hyperlink r:id="rId159" ref="L62"/>
    <hyperlink r:id="rId160" ref="M62"/>
    <hyperlink r:id="rId161" ref="G63"/>
    <hyperlink r:id="rId162" ref="L63"/>
    <hyperlink r:id="rId163" ref="M63"/>
    <hyperlink r:id="rId164" ref="G64"/>
    <hyperlink r:id="rId165" ref="L64"/>
    <hyperlink r:id="rId166" ref="M64"/>
    <hyperlink r:id="rId167" ref="G65"/>
    <hyperlink r:id="rId168" ref="L65"/>
    <hyperlink r:id="rId169" ref="M65"/>
    <hyperlink r:id="rId170" ref="G66"/>
    <hyperlink r:id="rId171" ref="L66"/>
    <hyperlink r:id="rId172" ref="M66"/>
    <hyperlink r:id="rId173" ref="G67"/>
    <hyperlink r:id="rId174" ref="L67"/>
    <hyperlink r:id="rId175" ref="M67"/>
    <hyperlink r:id="rId176" ref="G68"/>
    <hyperlink r:id="rId177" ref="L68"/>
    <hyperlink r:id="rId178" ref="M68"/>
    <hyperlink r:id="rId179" ref="G69"/>
    <hyperlink r:id="rId180" ref="L69"/>
    <hyperlink r:id="rId181" ref="M69"/>
    <hyperlink r:id="rId182" ref="G70"/>
    <hyperlink r:id="rId183" ref="L70"/>
    <hyperlink r:id="rId184" ref="M70"/>
    <hyperlink r:id="rId185" ref="G71"/>
    <hyperlink r:id="rId186" ref="L71"/>
    <hyperlink r:id="rId187" ref="M71"/>
    <hyperlink r:id="rId188" ref="G72"/>
    <hyperlink r:id="rId189" ref="L72"/>
    <hyperlink r:id="rId190" ref="M72"/>
    <hyperlink r:id="rId191" ref="G73"/>
    <hyperlink r:id="rId192" ref="L73"/>
    <hyperlink r:id="rId193" ref="M73"/>
    <hyperlink r:id="rId194" ref="G74"/>
    <hyperlink r:id="rId195" ref="L74"/>
    <hyperlink r:id="rId196" ref="M74"/>
    <hyperlink r:id="rId197" ref="G75"/>
    <hyperlink r:id="rId198" ref="L75"/>
    <hyperlink r:id="rId199" ref="M75"/>
    <hyperlink r:id="rId200" ref="G76"/>
    <hyperlink r:id="rId201" ref="L76"/>
    <hyperlink r:id="rId202" ref="M76"/>
    <hyperlink r:id="rId203" ref="G77"/>
    <hyperlink r:id="rId204" ref="L77"/>
    <hyperlink r:id="rId205" ref="M77"/>
    <hyperlink r:id="rId206" ref="G78"/>
    <hyperlink r:id="rId207" ref="L78"/>
    <hyperlink r:id="rId208" ref="M78"/>
    <hyperlink r:id="rId209" ref="G79"/>
    <hyperlink r:id="rId210" ref="L79"/>
    <hyperlink r:id="rId211" ref="M79"/>
    <hyperlink r:id="rId212" ref="G80"/>
    <hyperlink r:id="rId213" ref="L80"/>
    <hyperlink r:id="rId214" ref="M80"/>
    <hyperlink r:id="rId215" ref="G81"/>
    <hyperlink r:id="rId216" ref="L81"/>
    <hyperlink r:id="rId217" ref="M81"/>
    <hyperlink r:id="rId218" ref="G82"/>
    <hyperlink r:id="rId219" ref="L82"/>
    <hyperlink r:id="rId220" ref="M82"/>
    <hyperlink r:id="rId221" ref="G83"/>
    <hyperlink r:id="rId222" ref="L83"/>
    <hyperlink r:id="rId223" ref="M83"/>
    <hyperlink r:id="rId224" ref="G84"/>
    <hyperlink r:id="rId225" ref="L84"/>
    <hyperlink r:id="rId226" ref="M84"/>
    <hyperlink r:id="rId227" ref="G85"/>
    <hyperlink r:id="rId228" ref="L85"/>
    <hyperlink r:id="rId229" ref="M85"/>
    <hyperlink r:id="rId230" ref="G86"/>
    <hyperlink r:id="rId231" ref="L86"/>
    <hyperlink r:id="rId232" ref="M86"/>
    <hyperlink r:id="rId233" ref="G87"/>
    <hyperlink r:id="rId234" ref="L87"/>
    <hyperlink r:id="rId235" ref="M87"/>
    <hyperlink r:id="rId236" ref="G88"/>
    <hyperlink r:id="rId237" ref="L88"/>
    <hyperlink r:id="rId238" ref="M88"/>
    <hyperlink r:id="rId239" ref="G89"/>
    <hyperlink r:id="rId240" ref="L89"/>
    <hyperlink r:id="rId241" ref="M89"/>
    <hyperlink r:id="rId242" ref="G90"/>
    <hyperlink r:id="rId243" ref="L90"/>
    <hyperlink r:id="rId244" ref="M90"/>
    <hyperlink r:id="rId245" ref="G91"/>
    <hyperlink r:id="rId246" ref="L91"/>
    <hyperlink r:id="rId247" ref="M91"/>
    <hyperlink r:id="rId248" ref="G92"/>
    <hyperlink r:id="rId249" ref="L92"/>
    <hyperlink r:id="rId250" ref="M92"/>
    <hyperlink r:id="rId251" ref="G93"/>
    <hyperlink r:id="rId252" ref="L93"/>
    <hyperlink r:id="rId253" ref="M93"/>
    <hyperlink r:id="rId254" ref="G94"/>
    <hyperlink r:id="rId255" ref="L94"/>
    <hyperlink r:id="rId256" ref="M94"/>
    <hyperlink r:id="rId257" ref="G95"/>
    <hyperlink r:id="rId258" ref="L95"/>
    <hyperlink r:id="rId259" ref="M95"/>
    <hyperlink r:id="rId260" ref="G96"/>
    <hyperlink r:id="rId261" ref="L96"/>
    <hyperlink r:id="rId262" ref="M96"/>
    <hyperlink r:id="rId263" ref="G97"/>
    <hyperlink r:id="rId264" ref="L97"/>
    <hyperlink r:id="rId265" ref="M97"/>
    <hyperlink r:id="rId266" ref="L98"/>
    <hyperlink r:id="rId267" ref="M98"/>
    <hyperlink r:id="rId268" ref="G99"/>
    <hyperlink r:id="rId269" ref="L99"/>
    <hyperlink r:id="rId270" ref="M99"/>
    <hyperlink r:id="rId271" ref="G100"/>
    <hyperlink r:id="rId272" ref="L100"/>
    <hyperlink r:id="rId273" ref="M100"/>
    <hyperlink r:id="rId274" ref="G101"/>
    <hyperlink r:id="rId275" ref="L101"/>
    <hyperlink r:id="rId276" ref="M101"/>
    <hyperlink r:id="rId277" ref="G102"/>
    <hyperlink r:id="rId278" ref="L102"/>
    <hyperlink r:id="rId279" ref="M102"/>
    <hyperlink r:id="rId280" ref="G103"/>
    <hyperlink r:id="rId281" ref="L103"/>
    <hyperlink r:id="rId282" ref="M103"/>
    <hyperlink r:id="rId283" ref="G104"/>
    <hyperlink r:id="rId284" ref="L104"/>
    <hyperlink r:id="rId285" ref="M104"/>
    <hyperlink r:id="rId286" ref="G105"/>
    <hyperlink r:id="rId287" ref="L105"/>
    <hyperlink r:id="rId288" ref="M105"/>
    <hyperlink r:id="rId289" ref="L106"/>
    <hyperlink r:id="rId290" ref="M106"/>
    <hyperlink r:id="rId291" ref="G107"/>
    <hyperlink r:id="rId292" ref="L107"/>
    <hyperlink r:id="rId293" ref="M107"/>
    <hyperlink r:id="rId294" ref="G108"/>
    <hyperlink r:id="rId295" ref="L108"/>
    <hyperlink r:id="rId296" ref="M108"/>
  </hyperlinks>
  <drawing r:id="rId29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3" max="4" width="6.63"/>
  </cols>
  <sheetData>
    <row r="1">
      <c r="A1" s="36" t="s">
        <v>34</v>
      </c>
    </row>
    <row r="2">
      <c r="A2" s="48" t="s">
        <v>22</v>
      </c>
    </row>
    <row r="3">
      <c r="B3" s="49" t="s">
        <v>35</v>
      </c>
      <c r="C3" s="50">
        <f>countif(All!N:N,B3)</f>
        <v>62</v>
      </c>
      <c r="D3" s="51">
        <f t="shared" ref="D3:D5" si="1">C3/sum(C$3:C$5)</f>
        <v>0.62</v>
      </c>
    </row>
    <row r="4">
      <c r="B4" s="49" t="s">
        <v>36</v>
      </c>
      <c r="C4" s="50">
        <f>countif(All!N:N,B4)</f>
        <v>29</v>
      </c>
      <c r="D4" s="51">
        <f t="shared" si="1"/>
        <v>0.29</v>
      </c>
    </row>
    <row r="5">
      <c r="B5" s="49" t="s">
        <v>37</v>
      </c>
      <c r="C5" s="50">
        <f>countif(All!N:N,B5)</f>
        <v>9</v>
      </c>
      <c r="D5" s="51">
        <f t="shared" si="1"/>
        <v>0.09</v>
      </c>
    </row>
    <row r="7">
      <c r="A7" s="48" t="s">
        <v>15</v>
      </c>
    </row>
    <row r="8">
      <c r="B8" s="52" t="s">
        <v>38</v>
      </c>
      <c r="C8" s="50">
        <f>countif(All!C:C,B8)</f>
        <v>24</v>
      </c>
      <c r="D8" s="51">
        <f t="shared" ref="D8:D15" si="2">C8/sum(C$3:C$5)</f>
        <v>0.24</v>
      </c>
    </row>
    <row r="9">
      <c r="B9" s="52" t="s">
        <v>39</v>
      </c>
      <c r="C9" s="50">
        <f>countif(All!C:C,B9)</f>
        <v>10</v>
      </c>
      <c r="D9" s="51">
        <f t="shared" si="2"/>
        <v>0.1</v>
      </c>
    </row>
    <row r="10">
      <c r="B10" s="52" t="s">
        <v>40</v>
      </c>
      <c r="C10" s="50">
        <f>countif(All!C:C,B10)</f>
        <v>2</v>
      </c>
      <c r="D10" s="51">
        <f t="shared" si="2"/>
        <v>0.02</v>
      </c>
    </row>
    <row r="11">
      <c r="B11" s="52" t="s">
        <v>41</v>
      </c>
      <c r="C11" s="50">
        <f>countif(All!C:C,B11)</f>
        <v>2</v>
      </c>
      <c r="D11" s="51">
        <f t="shared" si="2"/>
        <v>0.02</v>
      </c>
    </row>
    <row r="12">
      <c r="B12" s="52" t="s">
        <v>42</v>
      </c>
      <c r="C12" s="50">
        <f>countif(All!C:C,B12)</f>
        <v>2</v>
      </c>
      <c r="D12" s="51">
        <f t="shared" si="2"/>
        <v>0.02</v>
      </c>
    </row>
    <row r="13">
      <c r="B13" s="52" t="s">
        <v>43</v>
      </c>
      <c r="C13" s="50">
        <f>countif(All!C:C,B13)</f>
        <v>8</v>
      </c>
      <c r="D13" s="51">
        <f t="shared" si="2"/>
        <v>0.08</v>
      </c>
    </row>
    <row r="14">
      <c r="B14" s="52" t="s">
        <v>44</v>
      </c>
      <c r="C14" s="50">
        <f>countif(All!C:C,B14)</f>
        <v>39</v>
      </c>
      <c r="D14" s="51">
        <f t="shared" si="2"/>
        <v>0.39</v>
      </c>
    </row>
    <row r="15">
      <c r="B15" s="53" t="s">
        <v>45</v>
      </c>
      <c r="C15" s="54">
        <f>sum(C3:C5)-sum(C8:C14)</f>
        <v>13</v>
      </c>
      <c r="D15" s="51">
        <f t="shared" si="2"/>
        <v>0.13</v>
      </c>
    </row>
    <row r="17">
      <c r="A17" s="48" t="s">
        <v>46</v>
      </c>
    </row>
    <row r="18">
      <c r="B18" s="52" t="s">
        <v>47</v>
      </c>
      <c r="C18" s="31">
        <f>countif(All!I:I,"&lt;=500,000")</f>
        <v>9</v>
      </c>
      <c r="D18" s="51">
        <f t="shared" ref="D18:D22" si="3">C18/sum(C$18:C$22)</f>
        <v>0.09</v>
      </c>
    </row>
    <row r="19">
      <c r="B19" s="52" t="s">
        <v>48</v>
      </c>
      <c r="C19" s="31">
        <f>countifs(All!I:I,"&gt;500,000",All!I:I,"&lt;=2,000,000")</f>
        <v>20</v>
      </c>
      <c r="D19" s="51">
        <f t="shared" si="3"/>
        <v>0.2</v>
      </c>
    </row>
    <row r="20">
      <c r="B20" s="52" t="s">
        <v>49</v>
      </c>
      <c r="C20" s="31">
        <f>countifs(All!I:I,"&gt;2,000,000",All!I:I,"&lt;=5,000,000")</f>
        <v>18</v>
      </c>
      <c r="D20" s="51">
        <f t="shared" si="3"/>
        <v>0.18</v>
      </c>
    </row>
    <row r="21">
      <c r="B21" s="52" t="s">
        <v>50</v>
      </c>
      <c r="C21" s="31">
        <f>countifs(All!I:I,"&gt;5,000,000",All!I:I,"&lt;=20,000,000")</f>
        <v>33</v>
      </c>
      <c r="D21" s="51">
        <f t="shared" si="3"/>
        <v>0.33</v>
      </c>
    </row>
    <row r="22">
      <c r="B22" s="52" t="s">
        <v>51</v>
      </c>
      <c r="C22" s="31">
        <f>countif(All!I:I,"&gt;20,000,000")</f>
        <v>20</v>
      </c>
      <c r="D22" s="51">
        <f t="shared" si="3"/>
        <v>0.2</v>
      </c>
    </row>
    <row r="24">
      <c r="A24" s="48" t="s">
        <v>52</v>
      </c>
    </row>
    <row r="25">
      <c r="B25" s="31" t="str">
        <f>IFERROR(__xludf.DUMMYFUNCTION("UNIQUE('By Industry'!D:D)"),"")</f>
        <v/>
      </c>
    </row>
    <row r="26">
      <c r="B26" s="31" t="str">
        <f>IFERROR(__xludf.DUMMYFUNCTION("""COMPUTED_VALUE"""),"Industry")</f>
        <v>Industry</v>
      </c>
      <c r="C26" s="50">
        <f>countif('By Industry'!D:D,B26)</f>
        <v>1</v>
      </c>
      <c r="D26" s="51">
        <f t="shared" ref="D26:D84" si="4">C26/sum(C$18:C$22)</f>
        <v>0.01</v>
      </c>
    </row>
    <row r="27">
      <c r="B27" s="31" t="str">
        <f>IFERROR(__xludf.DUMMYFUNCTION("""COMPUTED_VALUE"""),"AdTech")</f>
        <v>AdTech</v>
      </c>
      <c r="C27" s="50">
        <f>countif('By Industry'!D:D,B27)</f>
        <v>3</v>
      </c>
      <c r="D27" s="51">
        <f t="shared" si="4"/>
        <v>0.03</v>
      </c>
    </row>
    <row r="28">
      <c r="B28" s="31" t="str">
        <f>IFERROR(__xludf.DUMMYFUNCTION("""COMPUTED_VALUE"""),"AgTech")</f>
        <v>AgTech</v>
      </c>
      <c r="C28" s="50">
        <f>countif('By Industry'!D:D,B28)</f>
        <v>2</v>
      </c>
      <c r="D28" s="51">
        <f t="shared" si="4"/>
        <v>0.02</v>
      </c>
    </row>
    <row r="29">
      <c r="B29" s="31" t="str">
        <f>IFERROR(__xludf.DUMMYFUNCTION("""COMPUTED_VALUE"""),"AI")</f>
        <v>AI</v>
      </c>
      <c r="C29" s="50">
        <f>countif('By Industry'!D:D,B29)</f>
        <v>2</v>
      </c>
      <c r="D29" s="51">
        <f t="shared" si="4"/>
        <v>0.02</v>
      </c>
    </row>
    <row r="30">
      <c r="B30" s="31" t="str">
        <f>IFERROR(__xludf.DUMMYFUNCTION("""COMPUTED_VALUE"""),"Analytics")</f>
        <v>Analytics</v>
      </c>
      <c r="C30" s="50">
        <f>countif('By Industry'!D:D,B30)</f>
        <v>3</v>
      </c>
      <c r="D30" s="51">
        <f t="shared" si="4"/>
        <v>0.03</v>
      </c>
    </row>
    <row r="31">
      <c r="B31" s="31" t="str">
        <f>IFERROR(__xludf.DUMMYFUNCTION("""COMPUTED_VALUE"""),"Appliances")</f>
        <v>Appliances</v>
      </c>
      <c r="C31" s="50">
        <f>countif('By Industry'!D:D,B31)</f>
        <v>1</v>
      </c>
      <c r="D31" s="51">
        <f t="shared" si="4"/>
        <v>0.01</v>
      </c>
    </row>
    <row r="32">
      <c r="B32" s="31" t="str">
        <f>IFERROR(__xludf.DUMMYFUNCTION("""COMPUTED_VALUE"""),"Augmented Reality")</f>
        <v>Augmented Reality</v>
      </c>
      <c r="C32" s="50">
        <f>countif('By Industry'!D:D,B32)</f>
        <v>1</v>
      </c>
      <c r="D32" s="51">
        <f t="shared" si="4"/>
        <v>0.01</v>
      </c>
    </row>
    <row r="33">
      <c r="B33" s="31" t="str">
        <f>IFERROR(__xludf.DUMMYFUNCTION("""COMPUTED_VALUE"""),"Beauty")</f>
        <v>Beauty</v>
      </c>
      <c r="C33" s="50">
        <f>countif('By Industry'!D:D,B33)</f>
        <v>1</v>
      </c>
      <c r="D33" s="51">
        <f t="shared" si="4"/>
        <v>0.01</v>
      </c>
    </row>
    <row r="34">
      <c r="B34" s="31" t="str">
        <f>IFERROR(__xludf.DUMMYFUNCTION("""COMPUTED_VALUE"""),"Biotech")</f>
        <v>Biotech</v>
      </c>
      <c r="C34" s="50">
        <f>countif('By Industry'!D:D,B34)</f>
        <v>4</v>
      </c>
      <c r="D34" s="51">
        <f t="shared" si="4"/>
        <v>0.04</v>
      </c>
    </row>
    <row r="35">
      <c r="B35" s="31" t="str">
        <f>IFERROR(__xludf.DUMMYFUNCTION("""COMPUTED_VALUE"""),"Blockchain")</f>
        <v>Blockchain</v>
      </c>
      <c r="C35" s="50">
        <f>countif('By Industry'!D:D,B35)</f>
        <v>2</v>
      </c>
      <c r="D35" s="51">
        <f t="shared" si="4"/>
        <v>0.02</v>
      </c>
    </row>
    <row r="36">
      <c r="B36" s="31" t="str">
        <f>IFERROR(__xludf.DUMMYFUNCTION("""COMPUTED_VALUE"""),"CleanTech")</f>
        <v>CleanTech</v>
      </c>
      <c r="C36" s="50">
        <f>countif('By Industry'!D:D,B36)</f>
        <v>1</v>
      </c>
      <c r="D36" s="51">
        <f t="shared" si="4"/>
        <v>0.01</v>
      </c>
    </row>
    <row r="37">
      <c r="B37" s="31" t="str">
        <f>IFERROR(__xludf.DUMMYFUNCTION("""COMPUTED_VALUE"""),"ClimateTech")</f>
        <v>ClimateTech</v>
      </c>
      <c r="C37" s="50">
        <f>countif('By Industry'!D:D,B37)</f>
        <v>2</v>
      </c>
      <c r="D37" s="51">
        <f t="shared" si="4"/>
        <v>0.02</v>
      </c>
    </row>
    <row r="38">
      <c r="B38" s="31" t="str">
        <f>IFERROR(__xludf.DUMMYFUNCTION("""COMPUTED_VALUE"""),"Cloud")</f>
        <v>Cloud</v>
      </c>
      <c r="C38" s="50">
        <f>countif('By Industry'!D:D,B38)</f>
        <v>1</v>
      </c>
      <c r="D38" s="51">
        <f t="shared" si="4"/>
        <v>0.01</v>
      </c>
    </row>
    <row r="39">
      <c r="B39" s="31" t="str">
        <f>IFERROR(__xludf.DUMMYFUNCTION("""COMPUTED_VALUE"""),"Construction")</f>
        <v>Construction</v>
      </c>
      <c r="C39" s="50">
        <f>countif('By Industry'!D:D,B39)</f>
        <v>2</v>
      </c>
      <c r="D39" s="51">
        <f t="shared" si="4"/>
        <v>0.02</v>
      </c>
    </row>
    <row r="40">
      <c r="B40" s="31" t="str">
        <f>IFERROR(__xludf.DUMMYFUNCTION("""COMPUTED_VALUE"""),"CRM")</f>
        <v>CRM</v>
      </c>
      <c r="C40" s="50">
        <f>countif('By Industry'!D:D,B40)</f>
        <v>1</v>
      </c>
      <c r="D40" s="51">
        <f t="shared" si="4"/>
        <v>0.01</v>
      </c>
    </row>
    <row r="41">
      <c r="B41" s="31" t="str">
        <f>IFERROR(__xludf.DUMMYFUNCTION("""COMPUTED_VALUE"""),"Customer Service")</f>
        <v>Customer Service</v>
      </c>
      <c r="C41" s="50">
        <f>countif('By Industry'!D:D,B41)</f>
        <v>1</v>
      </c>
      <c r="D41" s="51">
        <f t="shared" si="4"/>
        <v>0.01</v>
      </c>
    </row>
    <row r="42">
      <c r="B42" s="31" t="str">
        <f>IFERROR(__xludf.DUMMYFUNCTION("""COMPUTED_VALUE"""),"Cybersecurity")</f>
        <v>Cybersecurity</v>
      </c>
      <c r="C42" s="50">
        <f>countif('By Industry'!D:D,B42)</f>
        <v>1</v>
      </c>
      <c r="D42" s="51">
        <f t="shared" si="4"/>
        <v>0.01</v>
      </c>
    </row>
    <row r="43">
      <c r="B43" s="31" t="str">
        <f>IFERROR(__xludf.DUMMYFUNCTION("""COMPUTED_VALUE"""),"Dating")</f>
        <v>Dating</v>
      </c>
      <c r="C43" s="50">
        <f>countif('By Industry'!D:D,B43)</f>
        <v>2</v>
      </c>
      <c r="D43" s="51">
        <f t="shared" si="4"/>
        <v>0.02</v>
      </c>
    </row>
    <row r="44">
      <c r="B44" s="31" t="str">
        <f>IFERROR(__xludf.DUMMYFUNCTION("""COMPUTED_VALUE"""),"Dev Tools")</f>
        <v>Dev Tools</v>
      </c>
      <c r="C44" s="50">
        <f>countif('By Industry'!D:D,B44)</f>
        <v>1</v>
      </c>
      <c r="D44" s="51">
        <f t="shared" si="4"/>
        <v>0.01</v>
      </c>
    </row>
    <row r="45">
      <c r="B45" s="31" t="str">
        <f>IFERROR(__xludf.DUMMYFUNCTION("""COMPUTED_VALUE"""),"DevOps")</f>
        <v>DevOps</v>
      </c>
      <c r="C45" s="50">
        <f>countif('By Industry'!D:D,B45)</f>
        <v>2</v>
      </c>
      <c r="D45" s="51">
        <f t="shared" si="4"/>
        <v>0.02</v>
      </c>
    </row>
    <row r="46">
      <c r="B46" s="31" t="str">
        <f>IFERROR(__xludf.DUMMYFUNCTION("""COMPUTED_VALUE"""),"Ecommerce")</f>
        <v>Ecommerce</v>
      </c>
      <c r="C46" s="50">
        <f>countif('By Industry'!D:D,B46)</f>
        <v>1</v>
      </c>
      <c r="D46" s="51">
        <f t="shared" si="4"/>
        <v>0.01</v>
      </c>
    </row>
    <row r="47">
      <c r="B47" s="31" t="str">
        <f>IFERROR(__xludf.DUMMYFUNCTION("""COMPUTED_VALUE"""),"EdTech")</f>
        <v>EdTech</v>
      </c>
      <c r="C47" s="50">
        <f>countif('By Industry'!D:D,B47)</f>
        <v>7</v>
      </c>
      <c r="D47" s="51">
        <f t="shared" si="4"/>
        <v>0.07</v>
      </c>
    </row>
    <row r="48">
      <c r="B48" s="31" t="str">
        <f>IFERROR(__xludf.DUMMYFUNCTION("""COMPUTED_VALUE"""),"Energy")</f>
        <v>Energy</v>
      </c>
      <c r="C48" s="50">
        <f>countif('By Industry'!D:D,B48)</f>
        <v>1</v>
      </c>
      <c r="D48" s="51">
        <f t="shared" si="4"/>
        <v>0.01</v>
      </c>
    </row>
    <row r="49">
      <c r="B49" s="31" t="str">
        <f>IFERROR(__xludf.DUMMYFUNCTION("""COMPUTED_VALUE"""),"Entertainment")</f>
        <v>Entertainment</v>
      </c>
      <c r="C49" s="50">
        <f>countif('By Industry'!D:D,B49)</f>
        <v>1</v>
      </c>
      <c r="D49" s="51">
        <f t="shared" si="4"/>
        <v>0.01</v>
      </c>
    </row>
    <row r="50">
      <c r="B50" s="31" t="str">
        <f>IFERROR(__xludf.DUMMYFUNCTION("""COMPUTED_VALUE"""),"Equipment Rental")</f>
        <v>Equipment Rental</v>
      </c>
      <c r="C50" s="50">
        <f>countif('By Industry'!D:D,B50)</f>
        <v>1</v>
      </c>
      <c r="D50" s="51">
        <f t="shared" si="4"/>
        <v>0.01</v>
      </c>
    </row>
    <row r="51">
      <c r="B51" s="31" t="str">
        <f>IFERROR(__xludf.DUMMYFUNCTION("""COMPUTED_VALUE"""),"FinTech")</f>
        <v>FinTech</v>
      </c>
      <c r="C51" s="50">
        <f>countif('By Industry'!D:D,B51)</f>
        <v>8</v>
      </c>
      <c r="D51" s="51">
        <f t="shared" si="4"/>
        <v>0.08</v>
      </c>
    </row>
    <row r="52">
      <c r="B52" s="31" t="str">
        <f>IFERROR(__xludf.DUMMYFUNCTION("""COMPUTED_VALUE"""),"Foodtech")</f>
        <v>Foodtech</v>
      </c>
      <c r="C52" s="50">
        <f>countif('By Industry'!D:D,B52)</f>
        <v>2</v>
      </c>
      <c r="D52" s="51">
        <f t="shared" si="4"/>
        <v>0.02</v>
      </c>
    </row>
    <row r="53">
      <c r="B53" s="31" t="str">
        <f>IFERROR(__xludf.DUMMYFUNCTION("""COMPUTED_VALUE"""),"Future of Work")</f>
        <v>Future of Work</v>
      </c>
      <c r="C53" s="50">
        <f>countif('By Industry'!D:D,B53)</f>
        <v>1</v>
      </c>
      <c r="D53" s="51">
        <f t="shared" si="4"/>
        <v>0.01</v>
      </c>
    </row>
    <row r="54">
      <c r="B54" s="31" t="str">
        <f>IFERROR(__xludf.DUMMYFUNCTION("""COMPUTED_VALUE"""),"Gaming")</f>
        <v>Gaming</v>
      </c>
      <c r="C54" s="50">
        <f>countif('By Industry'!D:D,B54)</f>
        <v>2</v>
      </c>
      <c r="D54" s="51">
        <f t="shared" si="4"/>
        <v>0.02</v>
      </c>
    </row>
    <row r="55">
      <c r="B55" s="31" t="str">
        <f>IFERROR(__xludf.DUMMYFUNCTION("""COMPUTED_VALUE"""),"Geolocation")</f>
        <v>Geolocation</v>
      </c>
      <c r="C55" s="50">
        <f>countif('By Industry'!D:D,B55)</f>
        <v>1</v>
      </c>
      <c r="D55" s="51">
        <f t="shared" si="4"/>
        <v>0.01</v>
      </c>
    </row>
    <row r="56">
      <c r="B56" s="31" t="str">
        <f>IFERROR(__xludf.DUMMYFUNCTION("""COMPUTED_VALUE"""),"Grocery")</f>
        <v>Grocery</v>
      </c>
      <c r="C56" s="50">
        <f>countif('By Industry'!D:D,B56)</f>
        <v>1</v>
      </c>
      <c r="D56" s="51">
        <f t="shared" si="4"/>
        <v>0.01</v>
      </c>
    </row>
    <row r="57">
      <c r="B57" s="31" t="str">
        <f>IFERROR(__xludf.DUMMYFUNCTION("""COMPUTED_VALUE"""),"Health")</f>
        <v>Health</v>
      </c>
      <c r="C57" s="50">
        <f>countif('By Industry'!D:D,B57)</f>
        <v>4</v>
      </c>
      <c r="D57" s="51">
        <f t="shared" si="4"/>
        <v>0.04</v>
      </c>
    </row>
    <row r="58">
      <c r="B58" s="31" t="str">
        <f>IFERROR(__xludf.DUMMYFUNCTION("""COMPUTED_VALUE"""),"Hospitality")</f>
        <v>Hospitality</v>
      </c>
      <c r="C58" s="50">
        <f>countif('By Industry'!D:D,B58)</f>
        <v>1</v>
      </c>
      <c r="D58" s="51">
        <f t="shared" si="4"/>
        <v>0.01</v>
      </c>
    </row>
    <row r="59">
      <c r="B59" s="31" t="str">
        <f>IFERROR(__xludf.DUMMYFUNCTION("""COMPUTED_VALUE"""),"Housing")</f>
        <v>Housing</v>
      </c>
      <c r="C59" s="50">
        <f>countif('By Industry'!D:D,B59)</f>
        <v>1</v>
      </c>
      <c r="D59" s="51">
        <f t="shared" si="4"/>
        <v>0.01</v>
      </c>
    </row>
    <row r="60">
      <c r="B60" s="31" t="str">
        <f>IFERROR(__xludf.DUMMYFUNCTION("""COMPUTED_VALUE"""),"Infrastructure")</f>
        <v>Infrastructure</v>
      </c>
      <c r="C60" s="50">
        <f>countif('By Industry'!D:D,B60)</f>
        <v>1</v>
      </c>
      <c r="D60" s="51">
        <f t="shared" si="4"/>
        <v>0.01</v>
      </c>
    </row>
    <row r="61">
      <c r="B61" s="31" t="str">
        <f>IFERROR(__xludf.DUMMYFUNCTION("""COMPUTED_VALUE"""),"Insurtech")</f>
        <v>Insurtech</v>
      </c>
      <c r="C61" s="50">
        <f>countif('By Industry'!D:D,B61)</f>
        <v>1</v>
      </c>
      <c r="D61" s="51">
        <f t="shared" si="4"/>
        <v>0.01</v>
      </c>
    </row>
    <row r="62">
      <c r="B62" s="31" t="str">
        <f>IFERROR(__xludf.DUMMYFUNCTION("""COMPUTED_VALUE"""),"IoT")</f>
        <v>IoT</v>
      </c>
      <c r="C62" s="50">
        <f>countif('By Industry'!D:D,B62)</f>
        <v>1</v>
      </c>
      <c r="D62" s="51">
        <f t="shared" si="4"/>
        <v>0.01</v>
      </c>
    </row>
    <row r="63">
      <c r="B63" s="31" t="str">
        <f>IFERROR(__xludf.DUMMYFUNCTION("""COMPUTED_VALUE"""),"LegalTech")</f>
        <v>LegalTech</v>
      </c>
      <c r="C63" s="50">
        <f>countif('By Industry'!D:D,B63)</f>
        <v>2</v>
      </c>
      <c r="D63" s="51">
        <f t="shared" si="4"/>
        <v>0.02</v>
      </c>
    </row>
    <row r="64">
      <c r="B64" s="31" t="str">
        <f>IFERROR(__xludf.DUMMYFUNCTION("""COMPUTED_VALUE"""),"Manufacturing")</f>
        <v>Manufacturing</v>
      </c>
      <c r="C64" s="50">
        <f>countif('By Industry'!D:D,B64)</f>
        <v>1</v>
      </c>
      <c r="D64" s="51">
        <f t="shared" si="4"/>
        <v>0.01</v>
      </c>
    </row>
    <row r="65">
      <c r="B65" s="31" t="str">
        <f>IFERROR(__xludf.DUMMYFUNCTION("""COMPUTED_VALUE"""),"Marketing")</f>
        <v>Marketing</v>
      </c>
      <c r="C65" s="50">
        <f>countif('By Industry'!D:D,B65)</f>
        <v>2</v>
      </c>
      <c r="D65" s="51">
        <f t="shared" si="4"/>
        <v>0.02</v>
      </c>
    </row>
    <row r="66">
      <c r="B66" s="31" t="str">
        <f>IFERROR(__xludf.DUMMYFUNCTION("""COMPUTED_VALUE"""),"Material Science")</f>
        <v>Material Science</v>
      </c>
      <c r="C66" s="50">
        <f>countif('By Industry'!D:D,B66)</f>
        <v>1</v>
      </c>
      <c r="D66" s="51">
        <f t="shared" si="4"/>
        <v>0.01</v>
      </c>
    </row>
    <row r="67">
      <c r="B67" s="31" t="str">
        <f>IFERROR(__xludf.DUMMYFUNCTION("""COMPUTED_VALUE"""),"MEdTech")</f>
        <v>MEdTech</v>
      </c>
      <c r="C67" s="50">
        <f>countif('By Industry'!D:D,B67)</f>
        <v>1</v>
      </c>
      <c r="D67" s="51">
        <f t="shared" si="4"/>
        <v>0.01</v>
      </c>
    </row>
    <row r="68">
      <c r="B68" s="31" t="str">
        <f>IFERROR(__xludf.DUMMYFUNCTION("""COMPUTED_VALUE"""),"Networking")</f>
        <v>Networking</v>
      </c>
      <c r="C68" s="50">
        <f>countif('By Industry'!D:D,B68)</f>
        <v>1</v>
      </c>
      <c r="D68" s="51">
        <f t="shared" si="4"/>
        <v>0.01</v>
      </c>
    </row>
    <row r="69">
      <c r="B69" s="31" t="str">
        <f>IFERROR(__xludf.DUMMYFUNCTION("""COMPUTED_VALUE"""),"Pets")</f>
        <v>Pets</v>
      </c>
      <c r="C69" s="50">
        <f>countif('By Industry'!D:D,B69)</f>
        <v>3</v>
      </c>
      <c r="D69" s="51">
        <f t="shared" si="4"/>
        <v>0.03</v>
      </c>
    </row>
    <row r="70">
      <c r="B70" s="31" t="str">
        <f>IFERROR(__xludf.DUMMYFUNCTION("""COMPUTED_VALUE"""),"Product Development")</f>
        <v>Product Development</v>
      </c>
      <c r="C70" s="50">
        <f>countif('By Industry'!D:D,B70)</f>
        <v>1</v>
      </c>
      <c r="D70" s="51">
        <f t="shared" si="4"/>
        <v>0.01</v>
      </c>
    </row>
    <row r="71">
      <c r="B71" s="31" t="str">
        <f>IFERROR(__xludf.DUMMYFUNCTION("""COMPUTED_VALUE"""),"Productivity")</f>
        <v>Productivity</v>
      </c>
      <c r="C71" s="50">
        <f>countif('By Industry'!D:D,B71)</f>
        <v>2</v>
      </c>
      <c r="D71" s="51">
        <f t="shared" si="4"/>
        <v>0.02</v>
      </c>
    </row>
    <row r="72">
      <c r="B72" s="31" t="str">
        <f>IFERROR(__xludf.DUMMYFUNCTION("""COMPUTED_VALUE"""),"PropTech")</f>
        <v>PropTech</v>
      </c>
      <c r="C72" s="50">
        <f>countif('By Industry'!D:D,B72)</f>
        <v>1</v>
      </c>
      <c r="D72" s="51">
        <f t="shared" si="4"/>
        <v>0.01</v>
      </c>
    </row>
    <row r="73">
      <c r="B73" s="31" t="str">
        <f>IFERROR(__xludf.DUMMYFUNCTION("""COMPUTED_VALUE"""),"Real Estate")</f>
        <v>Real Estate</v>
      </c>
      <c r="C73" s="50">
        <f>countif('By Industry'!D:D,B73)</f>
        <v>1</v>
      </c>
      <c r="D73" s="51">
        <f t="shared" si="4"/>
        <v>0.01</v>
      </c>
    </row>
    <row r="74">
      <c r="B74" s="31" t="str">
        <f>IFERROR(__xludf.DUMMYFUNCTION("""COMPUTED_VALUE"""),"Recycling")</f>
        <v>Recycling</v>
      </c>
      <c r="C74" s="50">
        <f>countif('By Industry'!D:D,B74)</f>
        <v>1</v>
      </c>
      <c r="D74" s="51">
        <f t="shared" si="4"/>
        <v>0.01</v>
      </c>
    </row>
    <row r="75">
      <c r="B75" s="31" t="str">
        <f>IFERROR(__xludf.DUMMYFUNCTION("""COMPUTED_VALUE"""),"Robotics")</f>
        <v>Robotics</v>
      </c>
      <c r="C75" s="50">
        <f>countif('By Industry'!D:D,B75)</f>
        <v>1</v>
      </c>
      <c r="D75" s="51">
        <f t="shared" si="4"/>
        <v>0.01</v>
      </c>
    </row>
    <row r="76">
      <c r="B76" s="31" t="str">
        <f>IFERROR(__xludf.DUMMYFUNCTION("""COMPUTED_VALUE"""),"SaaS")</f>
        <v>SaaS</v>
      </c>
      <c r="C76" s="50">
        <f>countif('By Industry'!D:D,B76)</f>
        <v>2</v>
      </c>
      <c r="D76" s="51">
        <f t="shared" si="4"/>
        <v>0.02</v>
      </c>
    </row>
    <row r="77">
      <c r="B77" s="31" t="str">
        <f>IFERROR(__xludf.DUMMYFUNCTION("""COMPUTED_VALUE"""),"Sales")</f>
        <v>Sales</v>
      </c>
      <c r="C77" s="50">
        <f>countif('By Industry'!D:D,B77)</f>
        <v>2</v>
      </c>
      <c r="D77" s="51">
        <f t="shared" si="4"/>
        <v>0.02</v>
      </c>
    </row>
    <row r="78">
      <c r="B78" s="31" t="str">
        <f>IFERROR(__xludf.DUMMYFUNCTION("""COMPUTED_VALUE"""),"Security")</f>
        <v>Security</v>
      </c>
      <c r="C78" s="50">
        <f>countif('By Industry'!D:D,B78)</f>
        <v>1</v>
      </c>
      <c r="D78" s="51">
        <f t="shared" si="4"/>
        <v>0.01</v>
      </c>
    </row>
    <row r="79">
      <c r="B79" s="31" t="str">
        <f>IFERROR(__xludf.DUMMYFUNCTION("""COMPUTED_VALUE"""),"Social Media")</f>
        <v>Social Media</v>
      </c>
      <c r="C79" s="50">
        <f>countif('By Industry'!D:D,B79)</f>
        <v>1</v>
      </c>
      <c r="D79" s="51">
        <f t="shared" si="4"/>
        <v>0.01</v>
      </c>
    </row>
    <row r="80">
      <c r="B80" s="31" t="str">
        <f>IFERROR(__xludf.DUMMYFUNCTION("""COMPUTED_VALUE"""),"Supply Chain")</f>
        <v>Supply Chain</v>
      </c>
      <c r="C80" s="50">
        <f>countif('By Industry'!D:D,B80)</f>
        <v>1</v>
      </c>
      <c r="D80" s="51">
        <f t="shared" si="4"/>
        <v>0.01</v>
      </c>
    </row>
    <row r="81">
      <c r="B81" s="31" t="str">
        <f>IFERROR(__xludf.DUMMYFUNCTION("""COMPUTED_VALUE"""),"Sustainability")</f>
        <v>Sustainability</v>
      </c>
      <c r="C81" s="50">
        <f>countif('By Industry'!D:D,B81)</f>
        <v>1</v>
      </c>
      <c r="D81" s="51">
        <f t="shared" si="4"/>
        <v>0.01</v>
      </c>
    </row>
    <row r="82">
      <c r="B82" s="31" t="str">
        <f>IFERROR(__xludf.DUMMYFUNCTION("""COMPUTED_VALUE"""),"Transportation")</f>
        <v>Transportation</v>
      </c>
      <c r="C82" s="50">
        <f>countif('By Industry'!D:D,B82)</f>
        <v>3</v>
      </c>
      <c r="D82" s="51">
        <f t="shared" si="4"/>
        <v>0.03</v>
      </c>
    </row>
    <row r="83">
      <c r="B83" s="31" t="str">
        <f>IFERROR(__xludf.DUMMYFUNCTION("""COMPUTED_VALUE"""),"Travel")</f>
        <v>Travel</v>
      </c>
      <c r="C83" s="50">
        <f>countif('By Industry'!D:D,B83)</f>
        <v>2</v>
      </c>
      <c r="D83" s="51">
        <f t="shared" si="4"/>
        <v>0.02</v>
      </c>
    </row>
    <row r="84">
      <c r="B84" s="31" t="str">
        <f>IFERROR(__xludf.DUMMYFUNCTION("""COMPUTED_VALUE"""),"UX")</f>
        <v>UX</v>
      </c>
      <c r="C84" s="50">
        <f>countif('By Industry'!D:D,B84)</f>
        <v>1</v>
      </c>
      <c r="D84" s="51">
        <f t="shared" si="4"/>
        <v>0.01</v>
      </c>
    </row>
    <row r="85">
      <c r="C85" s="50"/>
      <c r="D85" s="51"/>
    </row>
    <row r="86">
      <c r="C86" s="50"/>
      <c r="D86" s="5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13"/>
    <col customWidth="1" min="2" max="2" width="6.75"/>
    <col customWidth="1" min="3" max="3" width="81.13"/>
    <col customWidth="1" min="4" max="4" width="17.88"/>
    <col hidden="1" min="5" max="12" width="12.63"/>
  </cols>
  <sheetData>
    <row r="1">
      <c r="A1" s="36" t="s">
        <v>24</v>
      </c>
      <c r="B1" s="37"/>
      <c r="C1" s="38"/>
      <c r="D1" s="37"/>
      <c r="K1" s="3"/>
    </row>
    <row r="2">
      <c r="A2" s="22" t="s">
        <v>13</v>
      </c>
      <c r="B2" s="39" t="s">
        <v>14</v>
      </c>
      <c r="C2" s="22" t="s">
        <v>16</v>
      </c>
      <c r="D2" s="39" t="s">
        <v>15</v>
      </c>
      <c r="E2" s="40" t="s">
        <v>13</v>
      </c>
      <c r="F2" s="40" t="s">
        <v>18</v>
      </c>
      <c r="G2" s="40" t="s">
        <v>19</v>
      </c>
      <c r="H2" s="40" t="s">
        <v>20</v>
      </c>
      <c r="I2" s="40"/>
      <c r="J2" s="40" t="s">
        <v>15</v>
      </c>
      <c r="K2" s="41" t="s">
        <v>21</v>
      </c>
      <c r="L2" s="42"/>
    </row>
    <row r="3" hidden="1">
      <c r="A3" s="28" t="str">
        <f>All!A58</f>
        <v>Ageras</v>
      </c>
      <c r="B3" s="35" t="str">
        <f>All!B58</f>
        <v>$36m</v>
      </c>
      <c r="C3" s="28" t="str">
        <f>All!D58</f>
        <v>Teardown of Ageras's $36m Private Equity deck</v>
      </c>
      <c r="D3" s="35" t="str">
        <f>All!C58</f>
        <v>Private Equity</v>
      </c>
      <c r="K3" s="3"/>
    </row>
    <row r="4">
      <c r="A4" s="28" t="str">
        <f>All!A21</f>
        <v>Arkive</v>
      </c>
      <c r="B4" s="43" t="str">
        <f>All!B21</f>
        <v>$9.7m</v>
      </c>
      <c r="C4" s="28" t="str">
        <f>All!D21</f>
        <v>Teardown of Arkive's $9.7m Seed deck</v>
      </c>
      <c r="D4" s="43" t="str">
        <f>All!C21</f>
        <v>Seed</v>
      </c>
      <c r="K4" s="3"/>
    </row>
    <row r="5" hidden="1">
      <c r="A5" s="28" t="str">
        <f>All!A11</f>
        <v>Dutch</v>
      </c>
      <c r="B5" s="35" t="str">
        <f>All!B11</f>
        <v>$20m</v>
      </c>
      <c r="C5" s="28" t="str">
        <f>All!D11</f>
        <v>Teardown of Dutch's $20m Series A deck</v>
      </c>
      <c r="D5" s="35" t="str">
        <f>All!C11</f>
        <v>Series A</v>
      </c>
      <c r="K5" s="3"/>
    </row>
    <row r="6">
      <c r="A6" s="28" t="str">
        <f>All!A94</f>
        <v>Astek Diagnostics</v>
      </c>
      <c r="B6" s="43" t="str">
        <f>All!B94</f>
        <v>$2m</v>
      </c>
      <c r="C6" s="28" t="str">
        <f>All!D94</f>
        <v>Teardown of Astek Diagnostics's $2m Seed deck</v>
      </c>
      <c r="D6" s="43" t="str">
        <f>All!C94</f>
        <v>Seed</v>
      </c>
      <c r="K6" s="3"/>
    </row>
    <row r="7" hidden="1">
      <c r="A7" s="28" t="str">
        <f>All!A13</f>
        <v>Lumigo</v>
      </c>
      <c r="B7" s="35" t="str">
        <f>All!B13</f>
        <v>$29m</v>
      </c>
      <c r="C7" s="28" t="str">
        <f>All!D13</f>
        <v>Teardown of Lumigo's $29m Series A deck</v>
      </c>
      <c r="D7" s="35" t="str">
        <f>All!C13</f>
        <v>Series A</v>
      </c>
      <c r="K7" s="3"/>
    </row>
    <row r="8">
      <c r="A8" s="28" t="str">
        <f>All!A12</f>
        <v>BoxedUp</v>
      </c>
      <c r="B8" s="43" t="str">
        <f>All!B12</f>
        <v>$2.3m</v>
      </c>
      <c r="C8" s="28" t="str">
        <f>All!D12</f>
        <v>Teardown of BoxedUp's $2.3m Seed deck</v>
      </c>
      <c r="D8" s="43" t="str">
        <f>All!C12</f>
        <v>Seed</v>
      </c>
      <c r="K8" s="3"/>
    </row>
    <row r="9" hidden="1">
      <c r="A9" s="28" t="str">
        <f>All!A22</f>
        <v>Alto Pharmacy</v>
      </c>
      <c r="B9" s="35" t="str">
        <f>All!B22</f>
        <v>$200m</v>
      </c>
      <c r="C9" s="28" t="str">
        <f>All!D22</f>
        <v>Teardown of Alto Pharmacy's $200m Series E deck</v>
      </c>
      <c r="D9" s="35" t="str">
        <f>All!C22</f>
        <v>Series E</v>
      </c>
      <c r="K9" s="3"/>
    </row>
    <row r="10" hidden="1">
      <c r="A10" s="28" t="str">
        <f>All!A69</f>
        <v>ANYbotics AG</v>
      </c>
      <c r="B10" s="35" t="str">
        <f>All!B69</f>
        <v>$50m</v>
      </c>
      <c r="C10" s="28" t="str">
        <f>All!D69</f>
        <v>Teardown of ANYbotics AG's $50m Series B deck</v>
      </c>
      <c r="D10" s="35" t="str">
        <f>All!C69</f>
        <v>Series B</v>
      </c>
      <c r="K10" s="3"/>
    </row>
    <row r="11" hidden="1">
      <c r="A11" s="28" t="str">
        <f>All!A89</f>
        <v>Doola</v>
      </c>
      <c r="B11" s="35" t="str">
        <f>All!B89</f>
        <v>$1m</v>
      </c>
      <c r="C11" s="28" t="str">
        <f>All!D89</f>
        <v>Teardown of Doola's $1m Series A extension deck</v>
      </c>
      <c r="D11" s="35" t="str">
        <f>All!C89</f>
        <v>Series A extension</v>
      </c>
      <c r="K11" s="3"/>
    </row>
    <row r="12">
      <c r="A12" s="28" t="str">
        <f>All!A40</f>
        <v>Card Blanch</v>
      </c>
      <c r="B12" s="43" t="str">
        <f>All!B40</f>
        <v>$460k</v>
      </c>
      <c r="C12" s="28" t="str">
        <f>All!D40</f>
        <v>Teardown of Card Blanch's $460k Angel deck</v>
      </c>
      <c r="D12" s="43" t="str">
        <f>All!C40</f>
        <v>Angel</v>
      </c>
      <c r="K12" s="3"/>
    </row>
    <row r="13">
      <c r="A13" s="28" t="str">
        <f>All!A66</f>
        <v>CleanHub</v>
      </c>
      <c r="B13" s="43" t="str">
        <f>All!B66</f>
        <v>$7m</v>
      </c>
      <c r="C13" s="28" t="str">
        <f>All!D66</f>
        <v>Teardown of CleanHub's $7m Seed deck</v>
      </c>
      <c r="D13" s="43" t="str">
        <f>All!C66</f>
        <v>Seed</v>
      </c>
      <c r="K13" s="3"/>
    </row>
    <row r="14" hidden="1">
      <c r="A14" s="28" t="str">
        <f>All!A16</f>
        <v>Ergeon</v>
      </c>
      <c r="B14" s="35" t="str">
        <f>All!B16</f>
        <v>$40m</v>
      </c>
      <c r="C14" s="28" t="str">
        <f>All!D16</f>
        <v>Teardown of Ergeon's $40m Series B deck</v>
      </c>
      <c r="D14" s="35" t="str">
        <f>All!C16</f>
        <v>Series B</v>
      </c>
      <c r="K14" s="3"/>
    </row>
    <row r="15">
      <c r="A15" s="28" t="str">
        <f>All!A93</f>
        <v>CommandBar</v>
      </c>
      <c r="B15" s="43" t="str">
        <f>All!B93</f>
        <v>$4.8m</v>
      </c>
      <c r="C15" s="28" t="str">
        <f>All!D93</f>
        <v>Teardown of CommandBar's $4.8m Seed deck</v>
      </c>
      <c r="D15" s="43" t="str">
        <f>All!C93</f>
        <v>Seed</v>
      </c>
      <c r="K15" s="3"/>
    </row>
    <row r="16">
      <c r="A16" s="28" t="str">
        <f>All!A61</f>
        <v>CulturePulse</v>
      </c>
      <c r="B16" s="43" t="str">
        <f>All!B61</f>
        <v>$1m</v>
      </c>
      <c r="C16" s="28" t="str">
        <f>All!D61</f>
        <v>Teardown of CulturePulse's $1m Seed deck</v>
      </c>
      <c r="D16" s="43" t="str">
        <f>All!C61</f>
        <v>Seed</v>
      </c>
      <c r="K16" s="3"/>
    </row>
    <row r="17">
      <c r="A17" s="28" t="str">
        <f>All!A70</f>
        <v>DeckMatch</v>
      </c>
      <c r="B17" s="43" t="str">
        <f>All!B70</f>
        <v>$1m</v>
      </c>
      <c r="C17" s="28" t="str">
        <f>All!D70</f>
        <v>Teardown of DeckMatch's $1m Seed deck</v>
      </c>
      <c r="D17" s="43" t="str">
        <f>All!C70</f>
        <v>Seed</v>
      </c>
      <c r="K17" s="3"/>
    </row>
    <row r="18">
      <c r="A18" s="28" t="str">
        <f>All!A14</f>
        <v>Encore</v>
      </c>
      <c r="B18" s="43" t="str">
        <f>All!B14</f>
        <v>$3m</v>
      </c>
      <c r="C18" s="28" t="str">
        <f>All!D14</f>
        <v>Teardown of Encore's $3m Seed deck</v>
      </c>
      <c r="D18" s="43" t="str">
        <f>All!C14</f>
        <v>Seed</v>
      </c>
      <c r="K18" s="3"/>
    </row>
    <row r="19" hidden="1">
      <c r="A19" s="28" t="str">
        <f>All!A20</f>
        <v>Forethought</v>
      </c>
      <c r="B19" s="35" t="str">
        <f>All!B20</f>
        <v>$65m</v>
      </c>
      <c r="C19" s="28" t="str">
        <f>All!D20</f>
        <v>Teardown of Forethought's $65m Series C deck</v>
      </c>
      <c r="D19" s="35" t="str">
        <f>All!C20</f>
        <v>Series C</v>
      </c>
      <c r="K19" s="3"/>
    </row>
    <row r="20" hidden="1">
      <c r="A20" s="28" t="str">
        <f>All!A26</f>
        <v>SIMBA Chain</v>
      </c>
      <c r="B20" s="35" t="str">
        <f>All!B26</f>
        <v>$25m</v>
      </c>
      <c r="C20" s="28" t="str">
        <f>All!D26</f>
        <v>Teardown of SIMBA Chain's $25m Series A deck</v>
      </c>
      <c r="D20" s="35" t="str">
        <f>All!C26</f>
        <v>Series A</v>
      </c>
      <c r="K20" s="3"/>
    </row>
    <row r="21" hidden="1">
      <c r="A21" s="28" t="str">
        <f>All!A27</f>
        <v>Front</v>
      </c>
      <c r="B21" s="35" t="str">
        <f>All!B27</f>
        <v>$65m</v>
      </c>
      <c r="C21" s="28" t="str">
        <f>All!D27</f>
        <v>Teardown of Front's $65m Series D deck</v>
      </c>
      <c r="D21" s="35" t="str">
        <f>All!C27</f>
        <v>Series D</v>
      </c>
      <c r="K21" s="3"/>
    </row>
    <row r="22" hidden="1">
      <c r="A22" s="28" t="str">
        <f>All!A28</f>
        <v>Helu</v>
      </c>
      <c r="B22" s="35" t="str">
        <f>All!B28</f>
        <v>$9.8m</v>
      </c>
      <c r="C22" s="28" t="str">
        <f>All!D28</f>
        <v>Teardown of Helu's $9.8m Series A deck</v>
      </c>
      <c r="D22" s="35" t="str">
        <f>All!C28</f>
        <v>Series A</v>
      </c>
      <c r="K22" s="3"/>
    </row>
    <row r="23">
      <c r="A23" s="28" t="str">
        <f>All!A19</f>
        <v>Enduring Planet</v>
      </c>
      <c r="B23" s="43" t="str">
        <f>All!B19</f>
        <v>$2m</v>
      </c>
      <c r="C23" s="28" t="str">
        <f>All!D19</f>
        <v>Teardown of Enduring Planet's $2m Seed deck</v>
      </c>
      <c r="D23" s="43" t="str">
        <f>All!C19</f>
        <v>Seed</v>
      </c>
      <c r="K23" s="3"/>
    </row>
    <row r="24" hidden="1">
      <c r="A24" s="28" t="str">
        <f>All!A65</f>
        <v>GoodBuy Gear</v>
      </c>
      <c r="B24" s="35" t="str">
        <f>All!B65</f>
        <v>$5m</v>
      </c>
      <c r="C24" s="28" t="str">
        <f>All!D65</f>
        <v>Teardown of GoodBuy Gear's $5m Series A Extension deck</v>
      </c>
      <c r="D24" s="35" t="str">
        <f>All!C65</f>
        <v>Series A Extension</v>
      </c>
      <c r="K24" s="3"/>
    </row>
    <row r="25" hidden="1">
      <c r="A25" s="28" t="str">
        <f>All!A31</f>
        <v>Vori</v>
      </c>
      <c r="B25" s="35" t="str">
        <f>All!B31</f>
        <v>$10m</v>
      </c>
      <c r="C25" s="28" t="str">
        <f>All!D31</f>
        <v>Teardown of Vori's $10m Series A deck</v>
      </c>
      <c r="D25" s="35" t="str">
        <f>All!C31</f>
        <v>Series A</v>
      </c>
      <c r="K25" s="3"/>
    </row>
    <row r="26">
      <c r="A26" s="28" t="str">
        <f>All!A107</f>
        <v>Feel Therapeutics</v>
      </c>
      <c r="B26" s="35" t="str">
        <f>All!B107</f>
        <v>$3.5m</v>
      </c>
      <c r="C26" s="28" t="str">
        <f>All!D107</f>
        <v>Teardown of Feel Therapeutics's $3.5m Seed deck</v>
      </c>
      <c r="D26" s="43" t="str">
        <f>All!C107</f>
        <v>Seed</v>
      </c>
      <c r="K26" s="3"/>
    </row>
    <row r="27">
      <c r="A27" s="28" t="str">
        <f>All!A82</f>
        <v>Fifth Dimension AI</v>
      </c>
      <c r="B27" s="43" t="str">
        <f>All!B82</f>
        <v>$2.8m</v>
      </c>
      <c r="C27" s="28" t="str">
        <f>All!D82</f>
        <v>Teardown of Fifth Dimension AI's $2.8m Seed deck</v>
      </c>
      <c r="D27" s="43" t="str">
        <f>All!C82</f>
        <v>Seed</v>
      </c>
      <c r="K27" s="3"/>
    </row>
    <row r="28">
      <c r="A28" s="28" t="str">
        <f>All!A24</f>
        <v>Five Flute</v>
      </c>
      <c r="B28" s="43" t="str">
        <f>All!B24</f>
        <v>$1.2m</v>
      </c>
      <c r="C28" s="28" t="str">
        <f>All!D24</f>
        <v>Teardown of Five Flute's $1.2m Pre-seed deck</v>
      </c>
      <c r="D28" s="43" t="str">
        <f>All!C24</f>
        <v>Pre-seed</v>
      </c>
      <c r="K28" s="3"/>
    </row>
    <row r="29" hidden="1">
      <c r="A29" s="28" t="str">
        <f>All!A35</f>
        <v>Sateliot</v>
      </c>
      <c r="B29" s="35" t="str">
        <f>All!B35</f>
        <v>$11.4m</v>
      </c>
      <c r="C29" s="28" t="str">
        <f>All!D35</f>
        <v>Teardown of Sateliot's $11.4m Series A deck</v>
      </c>
      <c r="D29" s="35" t="str">
        <f>All!C35</f>
        <v>Series A</v>
      </c>
      <c r="K29" s="3"/>
    </row>
    <row r="30" hidden="1">
      <c r="A30" s="28" t="str">
        <f>All!A54</f>
        <v>Honeycomb </v>
      </c>
      <c r="B30" s="35" t="str">
        <f>All!B54</f>
        <v>$50m</v>
      </c>
      <c r="C30" s="28" t="str">
        <f>All!D54</f>
        <v>Teardown of Honeycomb 's $50m Series D deck</v>
      </c>
      <c r="D30" s="35" t="str">
        <f>All!C54</f>
        <v>Series D</v>
      </c>
      <c r="K30" s="3"/>
    </row>
    <row r="31" hidden="1">
      <c r="A31" s="28" t="str">
        <f>All!A37</f>
        <v>Hour One</v>
      </c>
      <c r="B31" s="35" t="str">
        <f>All!B37</f>
        <v>$20m</v>
      </c>
      <c r="C31" s="28" t="str">
        <f>All!D37</f>
        <v>Teardown of Hour One's $20m Series A deck</v>
      </c>
      <c r="D31" s="35" t="str">
        <f>All!C37</f>
        <v>Series A</v>
      </c>
      <c r="K31" s="3"/>
    </row>
    <row r="32" hidden="1">
      <c r="A32" s="28" t="str">
        <f>All!A38</f>
        <v>Rootine</v>
      </c>
      <c r="B32" s="35" t="str">
        <f>All!B38</f>
        <v>$10m</v>
      </c>
      <c r="C32" s="28" t="str">
        <f>All!D38</f>
        <v>Teardown of Rootine's $10m Series A deck</v>
      </c>
      <c r="D32" s="35" t="str">
        <f>All!C38</f>
        <v>Series A</v>
      </c>
      <c r="K32" s="3"/>
    </row>
    <row r="33" hidden="1">
      <c r="A33" s="28" t="str">
        <f>All!A36</f>
        <v>Juro</v>
      </c>
      <c r="B33" s="35" t="str">
        <f>All!B36</f>
        <v>$23m</v>
      </c>
      <c r="C33" s="28" t="str">
        <f>All!D36</f>
        <v>Teardown of Juro's $23m Series B deck</v>
      </c>
      <c r="D33" s="35" t="str">
        <f>All!C36</f>
        <v>Series B</v>
      </c>
      <c r="K33" s="3"/>
    </row>
    <row r="34">
      <c r="A34" s="28" t="str">
        <f>All!A100</f>
        <v>Geodesic.Life</v>
      </c>
      <c r="B34" s="43" t="str">
        <f>All!B100</f>
        <v>$500k</v>
      </c>
      <c r="C34" s="28" t="str">
        <f>All!D100</f>
        <v>Teardown of Geodesic.Life's $500k Pre-seed deck</v>
      </c>
      <c r="D34" s="43" t="str">
        <f>All!C100</f>
        <v>Pre-seed</v>
      </c>
      <c r="K34" s="3"/>
    </row>
    <row r="35">
      <c r="A35" s="28" t="str">
        <f>All!A23</f>
        <v>Glambook</v>
      </c>
      <c r="B35" s="43" t="str">
        <f>All!B23</f>
        <v>$2.5m</v>
      </c>
      <c r="C35" s="28" t="str">
        <f>All!D23</f>
        <v>Teardown of Glambook's $2.5m Seed deck</v>
      </c>
      <c r="D35" s="43" t="str">
        <f>All!C23</f>
        <v>Seed</v>
      </c>
      <c r="K35" s="3"/>
    </row>
    <row r="36">
      <c r="A36" s="28" t="str">
        <f>All!A103</f>
        <v>Goodcarbon</v>
      </c>
      <c r="B36" s="43" t="str">
        <f>All!B103</f>
        <v>$5.5m</v>
      </c>
      <c r="C36" s="28" t="str">
        <f>All!D103</f>
        <v>Teardown of Goodcarbon's $5.5m Seed deck</v>
      </c>
      <c r="D36" s="43" t="str">
        <f>All!C103</f>
        <v>Seed</v>
      </c>
      <c r="K36" s="3"/>
    </row>
    <row r="37">
      <c r="A37" s="28" t="str">
        <f>All!A85</f>
        <v>HomeCooks</v>
      </c>
      <c r="B37" s="43" t="str">
        <f>All!B85</f>
        <v>$3.2m</v>
      </c>
      <c r="C37" s="28" t="str">
        <f>All!D85</f>
        <v>Teardown of HomeCooks's $3.2m Seed deck</v>
      </c>
      <c r="D37" s="43" t="str">
        <f>All!C85</f>
        <v>Seed</v>
      </c>
      <c r="K37" s="3"/>
    </row>
    <row r="38">
      <c r="A38" s="28" t="str">
        <f>All!A45</f>
        <v>Incymo AI</v>
      </c>
      <c r="B38" s="43" t="str">
        <f>All!B45</f>
        <v>$850k</v>
      </c>
      <c r="C38" s="28" t="str">
        <f>All!D45</f>
        <v>Teardown of Incymo AI's $850k Seed deck</v>
      </c>
      <c r="D38" s="43" t="str">
        <f>All!C45</f>
        <v>Seed</v>
      </c>
      <c r="K38" s="3"/>
    </row>
    <row r="39">
      <c r="A39" s="28" t="str">
        <f>All!A106</f>
        <v>Kinnect</v>
      </c>
      <c r="B39" s="35" t="str">
        <f>All!B106</f>
        <v>$250k</v>
      </c>
      <c r="C39" s="28" t="str">
        <f>All!D106</f>
        <v>Teardown of Kinnect's $250k Angel deck</v>
      </c>
      <c r="D39" s="43" t="str">
        <f>All!C106</f>
        <v>Angel</v>
      </c>
      <c r="K39" s="3"/>
    </row>
    <row r="40">
      <c r="A40" s="28" t="str">
        <f>All!A43</f>
        <v>Laoshi</v>
      </c>
      <c r="B40" s="43" t="str">
        <f>All!B43</f>
        <v>$570k</v>
      </c>
      <c r="C40" s="28" t="str">
        <f>All!D43</f>
        <v>Teardown of Laoshi's $570k Angel  deck</v>
      </c>
      <c r="D40" s="43" t="str">
        <f>All!C43</f>
        <v>Angel </v>
      </c>
      <c r="K40" s="3"/>
    </row>
    <row r="41" hidden="1">
      <c r="A41" s="28" t="str">
        <f>All!A47</f>
        <v>Gable</v>
      </c>
      <c r="B41" s="35" t="str">
        <f>All!B47</f>
        <v>$16m</v>
      </c>
      <c r="C41" s="28" t="str">
        <f>All!D47</f>
        <v>Teardown of Gable's $16m Series A deck</v>
      </c>
      <c r="D41" s="35" t="str">
        <f>All!C47</f>
        <v>Series A</v>
      </c>
      <c r="K41" s="3"/>
    </row>
    <row r="42">
      <c r="A42" s="28" t="str">
        <f>All!A74</f>
        <v>Learn XYZ</v>
      </c>
      <c r="B42" s="43" t="str">
        <f>All!B74</f>
        <v>$3m</v>
      </c>
      <c r="C42" s="28" t="str">
        <f>All!D74</f>
        <v>Teardown of Learn XYZ's $3m Seed deck</v>
      </c>
      <c r="D42" s="43" t="str">
        <f>All!C74</f>
        <v>Seed</v>
      </c>
      <c r="K42" s="3"/>
    </row>
    <row r="43" hidden="1">
      <c r="A43" s="28" t="str">
        <f>All!A49</f>
        <v>StudentFinance</v>
      </c>
      <c r="B43" s="35" t="str">
        <f>All!B49</f>
        <v>$41m</v>
      </c>
      <c r="C43" s="28" t="str">
        <f>All!D49</f>
        <v>Teardown of StudentFinance's $41m Series A deck</v>
      </c>
      <c r="D43" s="35" t="str">
        <f>All!C49</f>
        <v>Series A</v>
      </c>
      <c r="K43" s="3"/>
    </row>
    <row r="44">
      <c r="A44" s="28" t="str">
        <f>All!A108</f>
        <v>Megamod</v>
      </c>
      <c r="B44" s="35" t="str">
        <f>All!B108</f>
        <v>$1.9m</v>
      </c>
      <c r="C44" s="28" t="str">
        <f>All!D108</f>
        <v>Teardown of Megamod's $1.9m Seed deck</v>
      </c>
      <c r="D44" s="43" t="str">
        <f>All!C108</f>
        <v>Seed</v>
      </c>
      <c r="K44" s="3"/>
    </row>
    <row r="45" hidden="1">
      <c r="A45" s="28" t="str">
        <f>All!A15</f>
        <v>Lunchbox</v>
      </c>
      <c r="B45" s="35" t="str">
        <f>All!B15</f>
        <v>$50m</v>
      </c>
      <c r="C45" s="28" t="str">
        <f>All!D15</f>
        <v>Teardown of Lunchbox's $50m Series B deck</v>
      </c>
      <c r="D45" s="35" t="str">
        <f>All!C15</f>
        <v>Series B</v>
      </c>
      <c r="K45" s="3"/>
    </row>
    <row r="46" hidden="1">
      <c r="A46" s="28" t="str">
        <f>All!A39</f>
        <v>MedCrypt</v>
      </c>
      <c r="B46" s="35" t="str">
        <f>All!B39</f>
        <v>$25m</v>
      </c>
      <c r="C46" s="28" t="str">
        <f>All!D39</f>
        <v>Teardown of MedCrypt's $25m Series B deck</v>
      </c>
      <c r="D46" s="35" t="str">
        <f>All!C39</f>
        <v>Series B</v>
      </c>
      <c r="K46" s="3"/>
    </row>
    <row r="47" hidden="1">
      <c r="A47" s="28" t="str">
        <f>All!A53</f>
        <v>Diamond Standard</v>
      </c>
      <c r="B47" s="35" t="str">
        <f>All!B53</f>
        <v>$30m</v>
      </c>
      <c r="C47" s="28" t="str">
        <f>All!D53</f>
        <v>Teardown of Diamond Standard's $30m Series A deck</v>
      </c>
      <c r="D47" s="35" t="str">
        <f>All!C53</f>
        <v>Series A</v>
      </c>
      <c r="K47" s="3"/>
    </row>
    <row r="48" hidden="1">
      <c r="A48" s="28" t="str">
        <f>All!A9</f>
        <v>Minut</v>
      </c>
      <c r="B48" s="35" t="str">
        <f>All!B9</f>
        <v>$15m</v>
      </c>
      <c r="C48" s="28" t="str">
        <f>All!D9</f>
        <v>Teardown of Minut's $15m Series B deck</v>
      </c>
      <c r="D48" s="35" t="str">
        <f>All!C9</f>
        <v>Series B</v>
      </c>
      <c r="E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F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G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H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J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K48" s="31" t="str">
        <f>IFERROR(__xludf.DUMMYFUNCTION("IMPORTRANGE(""https://docs.google.com/spreadsheets/d/1OQ79yI7ybUs56Ub4nNEkzOqn6dcjxpoFzyHkXs7Li7k/edit#gid=140951978"",concatenate(#REF!,""2:"",#REF!,1+#REF!))"),"#REF!")</f>
        <v>#REF!</v>
      </c>
    </row>
    <row r="49" hidden="1">
      <c r="A49" s="28" t="str">
        <f>All!A55</f>
        <v>Careerist</v>
      </c>
      <c r="B49" s="35" t="str">
        <f>All!B55</f>
        <v>$8m</v>
      </c>
      <c r="C49" s="28" t="str">
        <f>All!D55</f>
        <v>Teardown of Careerist's $8m Series A deck</v>
      </c>
      <c r="D49" s="35" t="str">
        <f>All!C55</f>
        <v>Series A</v>
      </c>
      <c r="K49" s="3"/>
    </row>
    <row r="50">
      <c r="A50" s="28" t="str">
        <f>All!A84</f>
        <v>Metafuels</v>
      </c>
      <c r="B50" s="43" t="str">
        <f>All!B84</f>
        <v>$8m</v>
      </c>
      <c r="C50" s="28" t="str">
        <f>All!D84</f>
        <v>Teardown of Metafuels's $8m Seed deck</v>
      </c>
      <c r="D50" s="43" t="str">
        <f>All!C84</f>
        <v>Seed</v>
      </c>
      <c r="K50" s="3"/>
    </row>
    <row r="51" hidden="1">
      <c r="A51" s="28" t="str">
        <f>All!A57</f>
        <v>Fibery</v>
      </c>
      <c r="B51" s="35" t="str">
        <f>All!B57</f>
        <v>$5.2m</v>
      </c>
      <c r="C51" s="28" t="str">
        <f>All!D57</f>
        <v>Teardown of Fibery's $5.2m Series A deck</v>
      </c>
      <c r="D51" s="35" t="str">
        <f>All!C57</f>
        <v>Series A</v>
      </c>
      <c r="K51" s="3"/>
    </row>
    <row r="52" hidden="1">
      <c r="A52" s="28" t="str">
        <f>All!A51</f>
        <v>Northspyre</v>
      </c>
      <c r="B52" s="35" t="str">
        <f>All!B51</f>
        <v>$25m</v>
      </c>
      <c r="C52" s="28" t="str">
        <f>All!D51</f>
        <v>Teardown of Northspyre's $25m Series B deck</v>
      </c>
      <c r="D52" s="35" t="str">
        <f>All!C51</f>
        <v>Series B</v>
      </c>
      <c r="K52" s="3"/>
    </row>
    <row r="53" hidden="1">
      <c r="A53" s="28" t="str">
        <f>All!A59</f>
        <v>Faye</v>
      </c>
      <c r="B53" s="35" t="str">
        <f>All!B59</f>
        <v>$10m</v>
      </c>
      <c r="C53" s="28" t="str">
        <f>All!D59</f>
        <v>Teardown of Faye's $10m Series A deck</v>
      </c>
      <c r="D53" s="35" t="str">
        <f>All!C59</f>
        <v>Series A</v>
      </c>
      <c r="K53" s="3"/>
    </row>
    <row r="54">
      <c r="A54" s="28" t="str">
        <f>All!A25</f>
        <v>Mi Terro</v>
      </c>
      <c r="B54" s="43" t="str">
        <f>All!B25</f>
        <v>$1.5m</v>
      </c>
      <c r="C54" s="28" t="str">
        <f>All!D25</f>
        <v>Teardown of Mi Terro's $1.5m Seed deck</v>
      </c>
      <c r="D54" s="43" t="str">
        <f>All!C25</f>
        <v>Seed</v>
      </c>
      <c r="K54" s="3"/>
    </row>
    <row r="55">
      <c r="A55" s="28" t="str">
        <f>All!A48</f>
        <v>MiO Marketplace</v>
      </c>
      <c r="B55" s="43" t="str">
        <f>All!B48</f>
        <v>$550k</v>
      </c>
      <c r="C55" s="28" t="str">
        <f>All!D48</f>
        <v>Teardown of MiO Marketplace's $550k Angel deck</v>
      </c>
      <c r="D55" s="43" t="str">
        <f>All!C48</f>
        <v>Angel</v>
      </c>
      <c r="K55" s="3"/>
    </row>
    <row r="56">
      <c r="A56" s="28" t="str">
        <f>All!A10</f>
        <v>Momentum</v>
      </c>
      <c r="B56" s="43" t="str">
        <f>All!B10</f>
        <v>$5m</v>
      </c>
      <c r="C56" s="28" t="str">
        <f>All!D10</f>
        <v>Teardown of Momentum's $5m Seed deck</v>
      </c>
      <c r="D56" s="43" t="str">
        <f>All!C10</f>
        <v>Seed</v>
      </c>
      <c r="K56" s="3"/>
    </row>
    <row r="57" hidden="1">
      <c r="A57" s="28" t="str">
        <f>All!A81</f>
        <v>Phospholutions</v>
      </c>
      <c r="B57" s="35" t="str">
        <f>All!B81</f>
        <v>$10.15m</v>
      </c>
      <c r="C57" s="28" t="str">
        <f>All!D81</f>
        <v>Teardown of Phospholutions's $10.15m Series A extension deck</v>
      </c>
      <c r="D57" s="35" t="str">
        <f>All!C81</f>
        <v>Series A extension</v>
      </c>
      <c r="K57" s="3"/>
    </row>
    <row r="58">
      <c r="A58" s="28" t="str">
        <f>All!A62</f>
        <v>Netmaker</v>
      </c>
      <c r="B58" s="43" t="str">
        <f>All!B62</f>
        <v>$2.3m</v>
      </c>
      <c r="C58" s="28" t="str">
        <f>All!D62</f>
        <v>Teardown of Netmaker's $2.3m Seed deck</v>
      </c>
      <c r="D58" s="43" t="str">
        <f>All!C62</f>
        <v>Seed</v>
      </c>
      <c r="K58" s="3"/>
    </row>
    <row r="59" hidden="1">
      <c r="A59" s="28" t="str">
        <f>All!A30</f>
        <v>Rokoko</v>
      </c>
      <c r="B59" s="35" t="str">
        <f>All!B30</f>
        <v>$3m</v>
      </c>
      <c r="C59" s="28" t="str">
        <f>All!D30</f>
        <v>Teardown of Rokoko's $3m Strategic Extension deck</v>
      </c>
      <c r="D59" s="35" t="str">
        <f>All!C30</f>
        <v>Strategic Extension</v>
      </c>
      <c r="K59" s="3"/>
    </row>
    <row r="60">
      <c r="A60" s="28" t="str">
        <f>All!A64</f>
        <v>Nokod Security</v>
      </c>
      <c r="B60" s="43" t="str">
        <f>All!B64</f>
        <v>$8m</v>
      </c>
      <c r="C60" s="28" t="str">
        <f>All!D64</f>
        <v>Teardown of Nokod Security's $8m Seed deck</v>
      </c>
      <c r="D60" s="43" t="str">
        <f>All!C64</f>
        <v>Seed</v>
      </c>
      <c r="K60" s="3"/>
    </row>
    <row r="61" hidden="1">
      <c r="A61" s="28" t="str">
        <f>All!A52</f>
        <v>Smalls</v>
      </c>
      <c r="B61" s="35" t="str">
        <f>All!B52</f>
        <v>$19m</v>
      </c>
      <c r="C61" s="28" t="str">
        <f>All!D52</f>
        <v>Teardown of Smalls's $19m Series B deck</v>
      </c>
      <c r="D61" s="35" t="str">
        <f>All!C52</f>
        <v>Series B</v>
      </c>
      <c r="K61" s="3"/>
    </row>
    <row r="62">
      <c r="A62" s="28" t="str">
        <f>All!A101</f>
        <v>NOQX</v>
      </c>
      <c r="B62" s="43" t="str">
        <f>All!B101</f>
        <v>$200k</v>
      </c>
      <c r="C62" s="28" t="str">
        <f>All!D101</f>
        <v>Teardown of NOQX's $200k Pre-seed deck</v>
      </c>
      <c r="D62" s="43" t="str">
        <f>All!C101</f>
        <v>Pre-seed</v>
      </c>
      <c r="K62" s="3"/>
    </row>
    <row r="63">
      <c r="A63" s="28" t="str">
        <f>All!A60</f>
        <v>Oii AI</v>
      </c>
      <c r="B63" s="43" t="str">
        <f>All!B60</f>
        <v>$1.85m</v>
      </c>
      <c r="C63" s="28" t="str">
        <f>All!D60</f>
        <v>Teardown of Oii AI's $1.85m Seed deck</v>
      </c>
      <c r="D63" s="43" t="str">
        <f>All!C60</f>
        <v>Seed</v>
      </c>
      <c r="K63" s="3"/>
    </row>
    <row r="64">
      <c r="A64" s="28" t="str">
        <f>All!A42</f>
        <v>Orange</v>
      </c>
      <c r="B64" s="43" t="str">
        <f>All!B42</f>
        <v>$2.5m</v>
      </c>
      <c r="C64" s="28" t="str">
        <f>All!D42</f>
        <v>Teardown of Orange's $2.5m Seed deck</v>
      </c>
      <c r="D64" s="43" t="str">
        <f>All!C42</f>
        <v>Seed</v>
      </c>
      <c r="K64" s="3"/>
    </row>
    <row r="65" hidden="1">
      <c r="A65" s="28" t="str">
        <f>All!A71</f>
        <v>BusRight</v>
      </c>
      <c r="B65" s="35" t="str">
        <f>All!B71</f>
        <v>$7m</v>
      </c>
      <c r="C65" s="28" t="str">
        <f>All!D71</f>
        <v>Teardown of BusRight's $7m Series A deck</v>
      </c>
      <c r="D65" s="35" t="str">
        <f>All!C71</f>
        <v>Series A</v>
      </c>
      <c r="K65" s="3"/>
    </row>
    <row r="66">
      <c r="A66" s="28" t="str">
        <f>All!A33</f>
        <v>Palau Project </v>
      </c>
      <c r="B66" s="43" t="str">
        <f>All!B33</f>
        <v>$125k</v>
      </c>
      <c r="C66" s="28" t="str">
        <f>All!D33</f>
        <v>Teardown of Palau Project 's $125k Pre-seed deck</v>
      </c>
      <c r="D66" s="43" t="str">
        <f>All!C33</f>
        <v>Pre-seed</v>
      </c>
      <c r="K66" s="3"/>
    </row>
    <row r="67" hidden="1">
      <c r="A67" s="28" t="str">
        <f>All!A73</f>
        <v>Tomorrow University of Applied Sciences</v>
      </c>
      <c r="B67" s="35" t="str">
        <f>All!B73</f>
        <v>$10m</v>
      </c>
      <c r="C67" s="28" t="str">
        <f>All!D73</f>
        <v>Teardown of Tomorrow University of Applied Sciences's $10m Series A deck</v>
      </c>
      <c r="D67" s="35" t="str">
        <f>All!C73</f>
        <v>Series A</v>
      </c>
      <c r="K67" s="3"/>
    </row>
    <row r="68">
      <c r="A68" s="28" t="str">
        <f>All!A29</f>
        <v>Party Round</v>
      </c>
      <c r="B68" s="43" t="str">
        <f>All!B29</f>
        <v>$7m</v>
      </c>
      <c r="C68" s="28" t="str">
        <f>All!D29</f>
        <v>Teardown of Party Round's $7m Angel deck</v>
      </c>
      <c r="D68" s="43" t="str">
        <f>All!C29</f>
        <v>Angel</v>
      </c>
      <c r="K68" s="3"/>
    </row>
    <row r="69" hidden="1">
      <c r="A69" s="28" t="str">
        <f>All!A63</f>
        <v>Super </v>
      </c>
      <c r="B69" s="35" t="str">
        <f>All!B63</f>
        <v>$60m</v>
      </c>
      <c r="C69" s="28" t="str">
        <f>All!D63</f>
        <v>Teardown of Super 's $60m Series C deck</v>
      </c>
      <c r="D69" s="35" t="str">
        <f>All!C63</f>
        <v>Series C</v>
      </c>
      <c r="K69" s="3"/>
    </row>
    <row r="70" hidden="1">
      <c r="A70" s="28" t="str">
        <f>All!A76</f>
        <v>point me</v>
      </c>
      <c r="B70" s="35" t="str">
        <f>All!B76</f>
        <v>$10m</v>
      </c>
      <c r="C70" s="28" t="str">
        <f>All!D76</f>
        <v>Teardown of point me's $10m Series A deck</v>
      </c>
      <c r="D70" s="35" t="str">
        <f>All!C76</f>
        <v>Series A</v>
      </c>
      <c r="K70" s="3"/>
    </row>
    <row r="71" hidden="1">
      <c r="A71" s="28" t="str">
        <f>All!A77</f>
        <v>Lupiya</v>
      </c>
      <c r="B71" s="35" t="str">
        <f>All!B77</f>
        <v>$8.3m</v>
      </c>
      <c r="C71" s="28" t="str">
        <f>All!D77</f>
        <v>Teardown of Lupiya's $8.3m Series A deck</v>
      </c>
      <c r="D71" s="35" t="str">
        <f>All!C77</f>
        <v>Series A</v>
      </c>
      <c r="K71" s="3"/>
    </row>
    <row r="72">
      <c r="A72" s="28" t="str">
        <f>All!A86</f>
        <v>Pepper Bio</v>
      </c>
      <c r="B72" s="43" t="str">
        <f>All!B86</f>
        <v>$6.5m</v>
      </c>
      <c r="C72" s="28" t="str">
        <f>All!D86</f>
        <v>Teardown of Pepper Bio's $6.5m Seed deck</v>
      </c>
      <c r="D72" s="43" t="str">
        <f>All!C86</f>
        <v>Seed</v>
      </c>
      <c r="K72" s="3"/>
    </row>
    <row r="73" hidden="1">
      <c r="A73" s="28" t="str">
        <f>All!A79</f>
        <v>Aether</v>
      </c>
      <c r="B73" s="35" t="str">
        <f>All!B79</f>
        <v>$49m</v>
      </c>
      <c r="C73" s="28" t="str">
        <f>All!D79</f>
        <v>Teardown of Aether's $49m Series A deck</v>
      </c>
      <c r="D73" s="35" t="str">
        <f>All!C79</f>
        <v>Series A</v>
      </c>
      <c r="K73" s="3"/>
    </row>
    <row r="74" hidden="1">
      <c r="A74" s="28" t="str">
        <f>All!A80</f>
        <v>CancerVAX</v>
      </c>
      <c r="B74" s="35" t="str">
        <f>All!B80</f>
        <v>$10m</v>
      </c>
      <c r="C74" s="28" t="str">
        <f>All!D80</f>
        <v>Teardown of CancerVAX's $10m Crowdfunding deck</v>
      </c>
      <c r="D74" s="35" t="str">
        <f>All!C80</f>
        <v>Crowdfunding</v>
      </c>
      <c r="K74" s="3"/>
    </row>
    <row r="75">
      <c r="A75" s="28" t="str">
        <f>All!A97</f>
        <v>Plantee Innovations</v>
      </c>
      <c r="B75" s="43" t="str">
        <f>All!B97</f>
        <v>$1.4m</v>
      </c>
      <c r="C75" s="28" t="str">
        <f>All!D97</f>
        <v>Teardown of Plantee Innovations's $1.4m Seed deck</v>
      </c>
      <c r="D75" s="43" t="str">
        <f>All!C97</f>
        <v>Seed</v>
      </c>
      <c r="K75" s="3"/>
    </row>
    <row r="76" hidden="1">
      <c r="A76" s="28" t="str">
        <f>All!A75</f>
        <v>Transcend</v>
      </c>
      <c r="B76" s="35" t="str">
        <f>All!B75</f>
        <v>$20m</v>
      </c>
      <c r="C76" s="28" t="str">
        <f>All!D75</f>
        <v>Teardown of Transcend's $20m Series B deck</v>
      </c>
      <c r="D76" s="35" t="str">
        <f>All!C75</f>
        <v>Series B</v>
      </c>
      <c r="K76" s="3"/>
    </row>
    <row r="77">
      <c r="A77" s="28" t="str">
        <f>All!A50</f>
        <v>Prelaunch</v>
      </c>
      <c r="B77" s="43" t="str">
        <f>All!B50</f>
        <v>$1.5m</v>
      </c>
      <c r="C77" s="28" t="str">
        <f>All!D50</f>
        <v>Teardown of Prelaunch's $1.5m Seed deck</v>
      </c>
      <c r="D77" s="43" t="str">
        <f>All!C50</f>
        <v>Seed</v>
      </c>
      <c r="K77" s="3"/>
    </row>
    <row r="78">
      <c r="A78" s="28" t="str">
        <f>All!A96</f>
        <v>Protecto</v>
      </c>
      <c r="B78" s="43" t="str">
        <f>All!B96</f>
        <v>$4m</v>
      </c>
      <c r="C78" s="28" t="str">
        <f>All!D96</f>
        <v>Teardown of Protecto's $4m Seed deck</v>
      </c>
      <c r="D78" s="43" t="str">
        <f>All!C96</f>
        <v>Seed</v>
      </c>
      <c r="K78" s="3"/>
    </row>
    <row r="79">
      <c r="A79" s="28" t="str">
        <f>All!A87</f>
        <v>Qortex</v>
      </c>
      <c r="B79" s="43" t="str">
        <f>All!B87</f>
        <v>$10m</v>
      </c>
      <c r="C79" s="28" t="str">
        <f>All!D87</f>
        <v>Teardown of Qortex's $10m Seed deck</v>
      </c>
      <c r="D79" s="43" t="str">
        <f>All!C87</f>
        <v>Seed</v>
      </c>
      <c r="K79" s="3"/>
    </row>
    <row r="80">
      <c r="A80" s="28" t="str">
        <f>All!A98</f>
        <v>Queerie</v>
      </c>
      <c r="B80" s="43" t="str">
        <f>All!B98</f>
        <v>$300k</v>
      </c>
      <c r="C80" s="28" t="str">
        <f>All!D98</f>
        <v>Teardown of Queerie's $300k Pre-seed deck</v>
      </c>
      <c r="D80" s="43" t="str">
        <f>All!C98</f>
        <v>Pre-seed</v>
      </c>
      <c r="K80" s="3"/>
    </row>
    <row r="81" hidden="1">
      <c r="A81" s="28" t="str">
        <f>All!A67</f>
        <v>Unito</v>
      </c>
      <c r="B81" s="35" t="str">
        <f>All!B67</f>
        <v>$20m</v>
      </c>
      <c r="C81" s="28" t="str">
        <f>All!D67</f>
        <v>Teardown of Unito's $20m Series B deck</v>
      </c>
      <c r="D81" s="35" t="str">
        <f>All!C67</f>
        <v>Series B</v>
      </c>
      <c r="K81" s="3"/>
    </row>
    <row r="82">
      <c r="A82" s="28" t="str">
        <f>All!A105</f>
        <v>RAW Dating App</v>
      </c>
      <c r="B82" s="35" t="str">
        <f>All!B105</f>
        <v>$3m</v>
      </c>
      <c r="C82" s="28" t="str">
        <f>All!D105</f>
        <v>Teardown of RAW Dating App's $3m Angel deck</v>
      </c>
      <c r="D82" s="43" t="str">
        <f>All!C105</f>
        <v>Angel</v>
      </c>
      <c r="K82" s="3"/>
    </row>
    <row r="83" hidden="1">
      <c r="A83" s="28" t="str">
        <f>All!A17</f>
        <v>WayRay</v>
      </c>
      <c r="B83" s="35" t="str">
        <f>All!B17</f>
        <v>$80m</v>
      </c>
      <c r="C83" s="28" t="str">
        <f>All!D17</f>
        <v>Teardown of WayRay's $80m Series E deck</v>
      </c>
      <c r="D83" s="35" t="str">
        <f>All!C17</f>
        <v>Series E</v>
      </c>
      <c r="K83" s="3"/>
    </row>
    <row r="84" hidden="1">
      <c r="A84" s="28" t="str">
        <f>All!A90</f>
        <v>PhageLab</v>
      </c>
      <c r="B84" s="35" t="str">
        <f>All!B90</f>
        <v>$11m</v>
      </c>
      <c r="C84" s="28" t="str">
        <f>All!D90</f>
        <v>Teardown of PhageLab's $11m Series A deck</v>
      </c>
      <c r="D84" s="35" t="str">
        <f>All!C90</f>
        <v>Series A</v>
      </c>
      <c r="K84" s="3"/>
    </row>
    <row r="85" hidden="1">
      <c r="A85" s="28" t="str">
        <f>All!A91</f>
        <v>Xyte</v>
      </c>
      <c r="B85" s="35" t="str">
        <f>All!B91</f>
        <v>$30m</v>
      </c>
      <c r="C85" s="28" t="str">
        <f>All!D91</f>
        <v>Teardown of Xyte's $30m Series A deck</v>
      </c>
      <c r="D85" s="35" t="str">
        <f>All!C91</f>
        <v>Series A</v>
      </c>
      <c r="K85" s="3"/>
    </row>
    <row r="86" hidden="1">
      <c r="A86" s="28" t="str">
        <f>All!A92</f>
        <v>Equals</v>
      </c>
      <c r="B86" s="35" t="str">
        <f>All!B92</f>
        <v>$16m</v>
      </c>
      <c r="C86" s="28" t="str">
        <f>All!D92</f>
        <v>Teardown of Equals's $16m Series A deck</v>
      </c>
      <c r="D86" s="35" t="str">
        <f>All!C92</f>
        <v>Series A</v>
      </c>
      <c r="K86" s="3"/>
    </row>
    <row r="87">
      <c r="A87" s="28" t="str">
        <f>All!A88</f>
        <v>Ryplzz</v>
      </c>
      <c r="B87" s="43" t="str">
        <f>All!B88</f>
        <v>$3m</v>
      </c>
      <c r="C87" s="28" t="str">
        <f>All!D88</f>
        <v>Teardown of Ryplzz's $3m Seed deck</v>
      </c>
      <c r="D87" s="43" t="str">
        <f>All!C88</f>
        <v>Seed</v>
      </c>
      <c r="K87" s="3"/>
    </row>
    <row r="88">
      <c r="A88" s="28" t="str">
        <f>All!A83</f>
        <v>Scalestack</v>
      </c>
      <c r="B88" s="43" t="str">
        <f>All!B83</f>
        <v>$1m</v>
      </c>
      <c r="C88" s="28" t="str">
        <f>All!D83</f>
        <v>Teardown of Scalestack's $1m Seed deck</v>
      </c>
      <c r="D88" s="43" t="str">
        <f>All!C83</f>
        <v>Seed</v>
      </c>
      <c r="K88" s="3"/>
    </row>
    <row r="89" hidden="1">
      <c r="A89" s="28" t="str">
        <f>All!A95</f>
        <v>SuperScale</v>
      </c>
      <c r="B89" s="35" t="str">
        <f>All!B95</f>
        <v>$4.4m</v>
      </c>
      <c r="C89" s="28" t="str">
        <f>All!D95</f>
        <v>Teardown of SuperScale's $4.4m Series A deck</v>
      </c>
      <c r="D89" s="35" t="str">
        <f>All!C95</f>
        <v>Series A</v>
      </c>
      <c r="K89" s="3"/>
    </row>
    <row r="90">
      <c r="A90" s="28" t="str">
        <f>All!A41</f>
        <v>Scrintal</v>
      </c>
      <c r="B90" s="43" t="str">
        <f>All!B41</f>
        <v>$1m</v>
      </c>
      <c r="C90" s="28" t="str">
        <f>All!D41</f>
        <v>Teardown of Scrintal's $1m Seed deck</v>
      </c>
      <c r="D90" s="43" t="str">
        <f>All!C41</f>
        <v>Seed</v>
      </c>
      <c r="K90" s="3"/>
    </row>
    <row r="91">
      <c r="A91" s="28" t="str">
        <f>All!A44</f>
        <v>Spinach</v>
      </c>
      <c r="B91" s="43" t="str">
        <f>All!B44</f>
        <v>$3.5m</v>
      </c>
      <c r="C91" s="28" t="str">
        <f>All!D44</f>
        <v>Teardown of Spinach's $3.5m Seed deck</v>
      </c>
      <c r="D91" s="43" t="str">
        <f>All!C44</f>
        <v>Seed</v>
      </c>
      <c r="K91" s="3"/>
    </row>
    <row r="92">
      <c r="A92" s="28" t="str">
        <f>All!A78</f>
        <v>SplitBrick</v>
      </c>
      <c r="B92" s="43" t="str">
        <f>All!B78</f>
        <v>$200k</v>
      </c>
      <c r="C92" s="28" t="str">
        <f>All!D78</f>
        <v>Teardown of SplitBrick's $200k Angel deck</v>
      </c>
      <c r="D92" s="43" t="str">
        <f>All!C78</f>
        <v>Angel</v>
      </c>
      <c r="K92" s="3"/>
    </row>
    <row r="93">
      <c r="A93" s="28" t="str">
        <f>All!A68</f>
        <v>SquadTrip</v>
      </c>
      <c r="B93" s="43" t="str">
        <f>All!B68</f>
        <v>$1.5m</v>
      </c>
      <c r="C93" s="28" t="str">
        <f>All!D68</f>
        <v>Teardown of SquadTrip's $1.5m Pre-seed deck</v>
      </c>
      <c r="D93" s="43" t="str">
        <f>All!C68</f>
        <v>Pre-seed</v>
      </c>
      <c r="K93" s="3"/>
    </row>
    <row r="94">
      <c r="A94" s="28" t="str">
        <f>All!A32</f>
        <v>Supliful</v>
      </c>
      <c r="B94" s="43" t="str">
        <f>All!B32</f>
        <v>$1m</v>
      </c>
      <c r="C94" s="28" t="str">
        <f>All!D32</f>
        <v>Teardown of Supliful's $1m Seed deck</v>
      </c>
      <c r="D94" s="43" t="str">
        <f>All!C32</f>
        <v>Seed</v>
      </c>
      <c r="K94" s="3"/>
    </row>
    <row r="95">
      <c r="A95" s="28" t="str">
        <f>All!A34</f>
        <v>Syneroid Technologies</v>
      </c>
      <c r="B95" s="43" t="str">
        <f>All!B34</f>
        <v>$500k</v>
      </c>
      <c r="C95" s="28" t="str">
        <f>All!D34</f>
        <v>Teardown of Syneroid Technologies's $500k Seed deck</v>
      </c>
      <c r="D95" s="43" t="str">
        <f>All!C34</f>
        <v>Seed</v>
      </c>
      <c r="K95" s="3"/>
    </row>
    <row r="96" hidden="1">
      <c r="A96" s="28" t="str">
        <f>All!A102</f>
        <v>Cloudsmith</v>
      </c>
      <c r="B96" s="35" t="str">
        <f>All!B102</f>
        <v>$15m</v>
      </c>
      <c r="C96" s="28" t="str">
        <f>All!D102</f>
        <v>Teardown of Cloudsmith's $15m Series A deck</v>
      </c>
      <c r="D96" s="35" t="str">
        <f>All!C102</f>
        <v>Series A</v>
      </c>
      <c r="K96" s="3"/>
    </row>
    <row r="97">
      <c r="A97" s="28" t="str">
        <f>All!A72</f>
        <v>Tanbii</v>
      </c>
      <c r="B97" s="43" t="str">
        <f>All!B72</f>
        <v>$1.5m</v>
      </c>
      <c r="C97" s="28" t="str">
        <f>All!D72</f>
        <v>Teardown of Tanbii's $1.5m Pre-seed deck</v>
      </c>
      <c r="D97" s="43" t="str">
        <f>All!C72</f>
        <v>Pre-seed</v>
      </c>
      <c r="K97" s="3"/>
    </row>
    <row r="98">
      <c r="A98" s="28" t="str">
        <f>All!A104</f>
        <v>Terra One</v>
      </c>
      <c r="B98" s="35" t="str">
        <f>All!B104</f>
        <v>$7.5m</v>
      </c>
      <c r="C98" s="28" t="str">
        <f>All!D104</f>
        <v>Teardown of Terra One's $7.5m Seed deck</v>
      </c>
      <c r="D98" s="43" t="str">
        <f>All!C104</f>
        <v>Seed</v>
      </c>
      <c r="K98" s="3"/>
    </row>
    <row r="99">
      <c r="A99" s="35" t="str">
        <f>All!A56</f>
        <v>The Perfect Pitch Deck</v>
      </c>
      <c r="B99" s="43" t="str">
        <f>All!B56</f>
        <v>$1m</v>
      </c>
      <c r="C99" s="28" t="str">
        <f>All!D56</f>
        <v>Teardown of The Perfect Pitch Deck's $1m Seed deck</v>
      </c>
      <c r="D99" s="43" t="str">
        <f>All!C56</f>
        <v>Seed</v>
      </c>
      <c r="K99" s="3"/>
    </row>
    <row r="100">
      <c r="A100" s="28" t="str">
        <f>All!A46</f>
        <v>Uber</v>
      </c>
      <c r="B100" s="43" t="str">
        <f>All!B46</f>
        <v>$200k</v>
      </c>
      <c r="C100" s="28" t="str">
        <f>All!D46</f>
        <v>Teardown of Uber's $200k Pre-seed deck</v>
      </c>
      <c r="D100" s="43" t="str">
        <f>All!C46</f>
        <v>Pre-seed</v>
      </c>
      <c r="K100" s="3"/>
    </row>
    <row r="101">
      <c r="A101" s="28" t="str">
        <f>All!A18</f>
        <v>Wilco</v>
      </c>
      <c r="B101" s="43" t="str">
        <f>All!B18</f>
        <v>$7m</v>
      </c>
      <c r="C101" s="28" t="str">
        <f>All!D18</f>
        <v>Teardown of Wilco's $7m Seed deck</v>
      </c>
      <c r="D101" s="43" t="str">
        <f>All!C18</f>
        <v>Seed</v>
      </c>
      <c r="K101" s="3"/>
    </row>
    <row r="102">
      <c r="A102" s="28" t="str">
        <f>All!A99</f>
        <v>Xpanceo</v>
      </c>
      <c r="B102" s="43" t="str">
        <f>All!B99</f>
        <v>$40m</v>
      </c>
      <c r="C102" s="28" t="str">
        <f>All!D99</f>
        <v>Teardown of Xpanceo's $40m Seed deck</v>
      </c>
      <c r="D102" s="43" t="str">
        <f>All!C99</f>
        <v>Seed</v>
      </c>
      <c r="K102" s="3"/>
    </row>
    <row r="103" hidden="1">
      <c r="A103" s="35" t="str">
        <f>All!A109</f>
        <v/>
      </c>
      <c r="B103" s="35" t="str">
        <f>All!B109</f>
        <v/>
      </c>
      <c r="C103" s="35" t="str">
        <f>All!D109</f>
        <v/>
      </c>
      <c r="D103" s="35" t="str">
        <f>All!C109</f>
        <v/>
      </c>
      <c r="K103" s="3"/>
    </row>
    <row r="104" hidden="1">
      <c r="A104" s="35" t="str">
        <f>All!A110</f>
        <v/>
      </c>
      <c r="B104" s="35" t="str">
        <f>All!B110</f>
        <v/>
      </c>
      <c r="C104" s="35" t="str">
        <f>All!D110</f>
        <v/>
      </c>
      <c r="D104" s="35" t="str">
        <f>All!C110</f>
        <v/>
      </c>
      <c r="K104" s="3"/>
    </row>
    <row r="105" hidden="1">
      <c r="A105" s="35" t="str">
        <f>All!A111</f>
        <v/>
      </c>
      <c r="B105" s="35" t="str">
        <f>All!B111</f>
        <v/>
      </c>
      <c r="C105" s="35" t="str">
        <f>All!D111</f>
        <v/>
      </c>
      <c r="D105" s="35" t="str">
        <f>All!C111</f>
        <v/>
      </c>
      <c r="K105" s="3"/>
    </row>
    <row r="106" hidden="1">
      <c r="A106" s="35" t="str">
        <f>All!A112</f>
        <v/>
      </c>
      <c r="B106" s="35" t="str">
        <f>All!B112</f>
        <v/>
      </c>
      <c r="C106" s="35" t="str">
        <f>All!D112</f>
        <v/>
      </c>
      <c r="D106" s="35" t="str">
        <f>All!C112</f>
        <v/>
      </c>
      <c r="K106" s="3"/>
    </row>
    <row r="107" hidden="1">
      <c r="A107" s="35" t="str">
        <f>All!A113</f>
        <v/>
      </c>
      <c r="B107" s="35" t="str">
        <f>All!B113</f>
        <v/>
      </c>
      <c r="C107" s="35" t="str">
        <f>All!D113</f>
        <v/>
      </c>
      <c r="D107" s="35" t="str">
        <f>All!C113</f>
        <v/>
      </c>
      <c r="K107" s="3"/>
    </row>
    <row r="108" hidden="1">
      <c r="A108" s="35" t="str">
        <f>All!A114</f>
        <v/>
      </c>
      <c r="B108" s="35" t="str">
        <f>All!B114</f>
        <v/>
      </c>
      <c r="C108" s="35" t="str">
        <f>All!D114</f>
        <v/>
      </c>
      <c r="D108" s="35" t="str">
        <f>All!C114</f>
        <v/>
      </c>
      <c r="K108" s="3"/>
    </row>
    <row r="109" hidden="1">
      <c r="A109" s="35" t="str">
        <f>All!A115</f>
        <v/>
      </c>
      <c r="B109" s="35" t="str">
        <f>All!B115</f>
        <v/>
      </c>
      <c r="C109" s="35" t="str">
        <f>All!D115</f>
        <v/>
      </c>
      <c r="D109" s="35" t="str">
        <f>All!C115</f>
        <v/>
      </c>
      <c r="K109" s="3"/>
    </row>
    <row r="110" hidden="1">
      <c r="A110" s="35" t="str">
        <f>All!A116</f>
        <v/>
      </c>
      <c r="B110" s="35" t="str">
        <f>All!B116</f>
        <v/>
      </c>
      <c r="C110" s="35" t="str">
        <f>All!D116</f>
        <v/>
      </c>
      <c r="D110" s="35" t="str">
        <f>All!C116</f>
        <v/>
      </c>
      <c r="K110" s="3"/>
    </row>
    <row r="111" hidden="1">
      <c r="A111" s="35" t="str">
        <f>All!A117</f>
        <v/>
      </c>
      <c r="B111" s="35" t="str">
        <f>All!B117</f>
        <v/>
      </c>
      <c r="C111" s="35" t="str">
        <f>All!D117</f>
        <v/>
      </c>
      <c r="D111" s="35" t="str">
        <f>All!C117</f>
        <v/>
      </c>
      <c r="K111" s="3"/>
    </row>
    <row r="112" hidden="1">
      <c r="A112" s="35" t="str">
        <f>All!A118</f>
        <v/>
      </c>
      <c r="B112" s="35" t="str">
        <f>All!B118</f>
        <v/>
      </c>
      <c r="C112" s="35" t="str">
        <f>All!D118</f>
        <v/>
      </c>
      <c r="D112" s="35" t="str">
        <f>All!C118</f>
        <v/>
      </c>
      <c r="K112" s="3"/>
    </row>
    <row r="113" hidden="1">
      <c r="A113" s="35" t="str">
        <f>All!A119</f>
        <v/>
      </c>
      <c r="B113" s="35" t="str">
        <f>All!B119</f>
        <v/>
      </c>
      <c r="C113" s="35" t="str">
        <f>All!D119</f>
        <v/>
      </c>
      <c r="D113" s="35" t="str">
        <f>All!C119</f>
        <v/>
      </c>
      <c r="K113" s="3"/>
    </row>
    <row r="114" hidden="1">
      <c r="A114" s="35" t="str">
        <f>All!A120</f>
        <v/>
      </c>
      <c r="B114" s="35" t="str">
        <f>All!B120</f>
        <v/>
      </c>
      <c r="C114" s="35" t="str">
        <f>All!D120</f>
        <v/>
      </c>
      <c r="D114" s="35" t="str">
        <f>All!C120</f>
        <v/>
      </c>
      <c r="K114" s="3"/>
    </row>
    <row r="115" hidden="1">
      <c r="A115" s="35" t="str">
        <f>All!A121</f>
        <v/>
      </c>
      <c r="B115" s="35" t="str">
        <f>All!B121</f>
        <v/>
      </c>
      <c r="C115" s="35" t="str">
        <f>All!D121</f>
        <v/>
      </c>
      <c r="D115" s="35" t="str">
        <f>All!C121</f>
        <v/>
      </c>
      <c r="K115" s="3"/>
    </row>
    <row r="116" hidden="1">
      <c r="A116" s="35" t="str">
        <f>All!A122</f>
        <v/>
      </c>
      <c r="B116" s="35" t="str">
        <f>All!B122</f>
        <v/>
      </c>
      <c r="C116" s="35" t="str">
        <f>All!D122</f>
        <v/>
      </c>
      <c r="D116" s="35" t="str">
        <f>All!C122</f>
        <v/>
      </c>
      <c r="K116" s="3"/>
    </row>
    <row r="117" hidden="1">
      <c r="A117" s="35" t="str">
        <f>All!A123</f>
        <v/>
      </c>
      <c r="B117" s="35" t="str">
        <f>All!B123</f>
        <v/>
      </c>
      <c r="C117" s="35" t="str">
        <f>All!D123</f>
        <v/>
      </c>
      <c r="D117" s="35" t="str">
        <f>All!C123</f>
        <v/>
      </c>
      <c r="K117" s="3"/>
    </row>
    <row r="118" hidden="1">
      <c r="A118" s="35" t="str">
        <f>All!A124</f>
        <v/>
      </c>
      <c r="B118" s="35" t="str">
        <f>All!B124</f>
        <v/>
      </c>
      <c r="C118" s="35" t="str">
        <f>All!D124</f>
        <v/>
      </c>
      <c r="D118" s="35" t="str">
        <f>All!C124</f>
        <v/>
      </c>
      <c r="K118" s="3"/>
    </row>
    <row r="119" hidden="1">
      <c r="A119" s="35" t="str">
        <f>All!A125</f>
        <v/>
      </c>
      <c r="B119" s="35" t="str">
        <f>All!B125</f>
        <v/>
      </c>
      <c r="C119" s="35" t="str">
        <f>All!D125</f>
        <v/>
      </c>
      <c r="D119" s="35" t="str">
        <f>All!C125</f>
        <v/>
      </c>
      <c r="K119" s="3"/>
    </row>
    <row r="120" hidden="1">
      <c r="A120" s="35" t="str">
        <f>All!A126</f>
        <v/>
      </c>
      <c r="B120" s="35" t="str">
        <f>All!B126</f>
        <v/>
      </c>
      <c r="C120" s="35" t="str">
        <f>All!D126</f>
        <v/>
      </c>
      <c r="D120" s="35" t="str">
        <f>All!C126</f>
        <v/>
      </c>
      <c r="K120" s="3"/>
    </row>
    <row r="121" hidden="1">
      <c r="A121" s="35" t="str">
        <f>All!A127</f>
        <v/>
      </c>
      <c r="B121" s="35" t="str">
        <f>All!B127</f>
        <v/>
      </c>
      <c r="C121" s="35" t="str">
        <f>All!D127</f>
        <v/>
      </c>
      <c r="D121" s="35" t="str">
        <f>All!C127</f>
        <v/>
      </c>
      <c r="K121" s="3"/>
    </row>
    <row r="122" hidden="1">
      <c r="A122" s="35" t="str">
        <f>All!A128</f>
        <v/>
      </c>
      <c r="B122" s="35" t="str">
        <f>All!B128</f>
        <v/>
      </c>
      <c r="C122" s="35" t="str">
        <f>All!D128</f>
        <v/>
      </c>
      <c r="D122" s="35" t="str">
        <f>All!C128</f>
        <v/>
      </c>
      <c r="K122" s="3"/>
    </row>
    <row r="123" hidden="1">
      <c r="A123" s="35" t="str">
        <f>All!A129</f>
        <v/>
      </c>
      <c r="B123" s="35" t="str">
        <f>All!B129</f>
        <v/>
      </c>
      <c r="C123" s="35" t="str">
        <f>All!D129</f>
        <v/>
      </c>
      <c r="D123" s="35" t="str">
        <f>All!C129</f>
        <v/>
      </c>
      <c r="K123" s="3"/>
    </row>
    <row r="124" hidden="1">
      <c r="A124" s="35" t="str">
        <f>All!A130</f>
        <v/>
      </c>
      <c r="B124" s="35" t="str">
        <f>All!B130</f>
        <v/>
      </c>
      <c r="C124" s="35" t="str">
        <f>All!D130</f>
        <v/>
      </c>
      <c r="D124" s="35" t="str">
        <f>All!C130</f>
        <v/>
      </c>
      <c r="K124" s="3"/>
    </row>
    <row r="125" hidden="1">
      <c r="A125" s="35" t="str">
        <f>All!A131</f>
        <v/>
      </c>
      <c r="B125" s="35" t="str">
        <f>All!B131</f>
        <v/>
      </c>
      <c r="C125" s="35" t="str">
        <f>All!D131</f>
        <v/>
      </c>
      <c r="D125" s="35" t="str">
        <f>All!C131</f>
        <v/>
      </c>
      <c r="K125" s="3"/>
    </row>
    <row r="126" hidden="1">
      <c r="A126" s="35" t="str">
        <f>All!A132</f>
        <v/>
      </c>
      <c r="B126" s="35" t="str">
        <f>All!B132</f>
        <v/>
      </c>
      <c r="C126" s="35" t="str">
        <f>All!D132</f>
        <v/>
      </c>
      <c r="D126" s="35" t="str">
        <f>All!C132</f>
        <v/>
      </c>
      <c r="K126" s="3"/>
    </row>
    <row r="127" hidden="1">
      <c r="A127" s="35" t="str">
        <f>All!A133</f>
        <v/>
      </c>
      <c r="B127" s="35" t="str">
        <f>All!B133</f>
        <v/>
      </c>
      <c r="C127" s="35" t="str">
        <f>All!D133</f>
        <v/>
      </c>
      <c r="D127" s="35" t="str">
        <f>All!C133</f>
        <v/>
      </c>
      <c r="K127" s="3"/>
    </row>
    <row r="128" hidden="1">
      <c r="A128" s="35" t="str">
        <f>All!A134</f>
        <v/>
      </c>
      <c r="B128" s="35" t="str">
        <f>All!B134</f>
        <v/>
      </c>
      <c r="C128" s="35" t="str">
        <f>All!D134</f>
        <v/>
      </c>
      <c r="D128" s="35" t="str">
        <f>All!C134</f>
        <v/>
      </c>
      <c r="K128" s="3"/>
    </row>
    <row r="129" hidden="1">
      <c r="A129" s="35" t="str">
        <f>All!A135</f>
        <v/>
      </c>
      <c r="B129" s="35" t="str">
        <f>All!B135</f>
        <v/>
      </c>
      <c r="C129" s="35" t="str">
        <f>All!D135</f>
        <v/>
      </c>
      <c r="D129" s="35" t="str">
        <f>All!C135</f>
        <v/>
      </c>
      <c r="K129" s="3"/>
    </row>
    <row r="130" hidden="1">
      <c r="A130" s="35" t="str">
        <f>All!A136</f>
        <v/>
      </c>
      <c r="B130" s="35" t="str">
        <f>All!B136</f>
        <v/>
      </c>
      <c r="C130" s="35" t="str">
        <f>All!D136</f>
        <v/>
      </c>
      <c r="D130" s="35" t="str">
        <f>All!C136</f>
        <v/>
      </c>
      <c r="K130" s="3"/>
    </row>
    <row r="131" hidden="1">
      <c r="A131" s="35" t="str">
        <f>All!A137</f>
        <v/>
      </c>
      <c r="B131" s="35" t="str">
        <f>All!B137</f>
        <v/>
      </c>
      <c r="C131" s="35" t="str">
        <f>All!D137</f>
        <v/>
      </c>
      <c r="D131" s="35" t="str">
        <f>All!C137</f>
        <v/>
      </c>
      <c r="K131" s="3"/>
    </row>
    <row r="132" hidden="1">
      <c r="A132" s="35" t="str">
        <f>All!A138</f>
        <v/>
      </c>
      <c r="B132" s="35" t="str">
        <f>All!B138</f>
        <v/>
      </c>
      <c r="C132" s="35" t="str">
        <f>All!D138</f>
        <v/>
      </c>
      <c r="D132" s="35" t="str">
        <f>All!C138</f>
        <v/>
      </c>
      <c r="K132" s="3"/>
    </row>
    <row r="133" hidden="1">
      <c r="A133" s="35" t="str">
        <f>All!A139</f>
        <v/>
      </c>
      <c r="B133" s="35" t="str">
        <f>All!B139</f>
        <v/>
      </c>
      <c r="C133" s="35" t="str">
        <f>All!D139</f>
        <v/>
      </c>
      <c r="D133" s="35" t="str">
        <f>All!C139</f>
        <v/>
      </c>
      <c r="K133" s="3"/>
    </row>
    <row r="134" hidden="1">
      <c r="A134" s="35" t="str">
        <f>All!A140</f>
        <v/>
      </c>
      <c r="B134" s="35" t="str">
        <f>All!B140</f>
        <v/>
      </c>
      <c r="C134" s="35" t="str">
        <f>All!D140</f>
        <v/>
      </c>
      <c r="D134" s="35" t="str">
        <f>All!C140</f>
        <v/>
      </c>
      <c r="K134" s="3"/>
    </row>
    <row r="135" hidden="1">
      <c r="A135" s="35" t="str">
        <f>All!A141</f>
        <v/>
      </c>
      <c r="B135" s="35" t="str">
        <f>All!B141</f>
        <v/>
      </c>
      <c r="C135" s="35" t="str">
        <f>All!D141</f>
        <v/>
      </c>
      <c r="D135" s="35" t="str">
        <f>All!C141</f>
        <v/>
      </c>
      <c r="K135" s="3"/>
    </row>
    <row r="136" hidden="1">
      <c r="A136" s="35" t="str">
        <f>All!A142</f>
        <v/>
      </c>
      <c r="B136" s="35" t="str">
        <f>All!B142</f>
        <v/>
      </c>
      <c r="C136" s="35" t="str">
        <f>All!D142</f>
        <v/>
      </c>
      <c r="D136" s="35" t="str">
        <f>All!C142</f>
        <v/>
      </c>
      <c r="K136" s="3"/>
    </row>
    <row r="137" hidden="1">
      <c r="A137" s="35" t="str">
        <f>All!A143</f>
        <v/>
      </c>
      <c r="B137" s="35" t="str">
        <f>All!B143</f>
        <v/>
      </c>
      <c r="C137" s="35" t="str">
        <f>All!D143</f>
        <v/>
      </c>
      <c r="D137" s="35" t="str">
        <f>All!C143</f>
        <v/>
      </c>
      <c r="K137" s="3"/>
    </row>
    <row r="138" hidden="1">
      <c r="A138" s="35" t="str">
        <f>All!A144</f>
        <v/>
      </c>
      <c r="B138" s="35" t="str">
        <f>All!B144</f>
        <v/>
      </c>
      <c r="C138" s="35" t="str">
        <f>All!D144</f>
        <v/>
      </c>
      <c r="D138" s="35" t="str">
        <f>All!C144</f>
        <v/>
      </c>
      <c r="K138" s="3"/>
    </row>
    <row r="139" hidden="1">
      <c r="A139" s="35" t="str">
        <f>All!A145</f>
        <v/>
      </c>
      <c r="B139" s="35" t="str">
        <f>All!B145</f>
        <v/>
      </c>
      <c r="C139" s="35" t="str">
        <f>All!D145</f>
        <v/>
      </c>
      <c r="D139" s="35" t="str">
        <f>All!C145</f>
        <v/>
      </c>
      <c r="K139" s="3"/>
    </row>
    <row r="140" hidden="1">
      <c r="A140" s="35" t="str">
        <f>All!A146</f>
        <v/>
      </c>
      <c r="B140" s="35" t="str">
        <f>All!B146</f>
        <v/>
      </c>
      <c r="C140" s="35" t="str">
        <f>All!D146</f>
        <v/>
      </c>
      <c r="D140" s="35" t="str">
        <f>All!C146</f>
        <v/>
      </c>
      <c r="K140" s="3"/>
    </row>
    <row r="141" hidden="1">
      <c r="A141" s="35" t="str">
        <f>All!A147</f>
        <v/>
      </c>
      <c r="B141" s="35" t="str">
        <f>All!B147</f>
        <v/>
      </c>
      <c r="C141" s="35" t="str">
        <f>All!D147</f>
        <v/>
      </c>
      <c r="D141" s="35" t="str">
        <f>All!C147</f>
        <v/>
      </c>
      <c r="K141" s="3"/>
    </row>
    <row r="142" hidden="1">
      <c r="A142" s="35" t="str">
        <f>All!A148</f>
        <v/>
      </c>
      <c r="B142" s="35" t="str">
        <f>All!B148</f>
        <v/>
      </c>
      <c r="C142" s="35" t="str">
        <f>All!D148</f>
        <v/>
      </c>
      <c r="D142" s="35" t="str">
        <f>All!C148</f>
        <v/>
      </c>
      <c r="K142" s="3"/>
    </row>
    <row r="143" hidden="1">
      <c r="A143" s="35" t="str">
        <f>All!A149</f>
        <v/>
      </c>
      <c r="B143" s="35" t="str">
        <f>All!B149</f>
        <v/>
      </c>
      <c r="C143" s="35" t="str">
        <f>All!D149</f>
        <v/>
      </c>
      <c r="D143" s="35" t="str">
        <f>All!C149</f>
        <v/>
      </c>
      <c r="K143" s="3"/>
    </row>
    <row r="144" hidden="1">
      <c r="A144" s="35" t="str">
        <f>All!A150</f>
        <v/>
      </c>
      <c r="B144" s="35" t="str">
        <f>All!B150</f>
        <v/>
      </c>
      <c r="C144" s="35" t="str">
        <f>All!D150</f>
        <v/>
      </c>
      <c r="D144" s="35" t="str">
        <f>All!C150</f>
        <v/>
      </c>
      <c r="K144" s="3"/>
    </row>
    <row r="145" hidden="1">
      <c r="A145" s="35" t="str">
        <f>All!A151</f>
        <v/>
      </c>
      <c r="B145" s="35" t="str">
        <f>All!B151</f>
        <v/>
      </c>
      <c r="C145" s="35" t="str">
        <f>All!D151</f>
        <v/>
      </c>
      <c r="D145" s="35" t="str">
        <f>All!C151</f>
        <v/>
      </c>
      <c r="K145" s="3"/>
    </row>
    <row r="146" hidden="1">
      <c r="A146" s="35" t="str">
        <f>All!A152</f>
        <v/>
      </c>
      <c r="B146" s="35" t="str">
        <f>All!B152</f>
        <v/>
      </c>
      <c r="C146" s="35" t="str">
        <f>All!D152</f>
        <v/>
      </c>
      <c r="D146" s="35" t="str">
        <f>All!C152</f>
        <v/>
      </c>
      <c r="K146" s="3"/>
    </row>
    <row r="147" hidden="1">
      <c r="A147" s="35" t="str">
        <f>All!A153</f>
        <v/>
      </c>
      <c r="B147" s="35" t="str">
        <f>All!B153</f>
        <v/>
      </c>
      <c r="C147" s="35" t="str">
        <f>All!D153</f>
        <v/>
      </c>
      <c r="D147" s="35" t="str">
        <f>All!C153</f>
        <v/>
      </c>
      <c r="K147" s="3"/>
    </row>
    <row r="148" hidden="1">
      <c r="A148" s="35" t="str">
        <f>All!A154</f>
        <v/>
      </c>
      <c r="B148" s="35" t="str">
        <f>All!B154</f>
        <v/>
      </c>
      <c r="C148" s="35" t="str">
        <f>All!D154</f>
        <v/>
      </c>
      <c r="D148" s="35" t="str">
        <f>All!C154</f>
        <v/>
      </c>
      <c r="K148" s="3"/>
    </row>
    <row r="149" hidden="1">
      <c r="A149" s="35" t="str">
        <f>All!A155</f>
        <v/>
      </c>
      <c r="B149" s="35" t="str">
        <f>All!B155</f>
        <v/>
      </c>
      <c r="C149" s="35" t="str">
        <f>All!D155</f>
        <v/>
      </c>
      <c r="D149" s="35" t="str">
        <f>All!C155</f>
        <v/>
      </c>
      <c r="K149" s="3"/>
    </row>
    <row r="150" hidden="1">
      <c r="A150" s="35" t="str">
        <f>All!A156</f>
        <v/>
      </c>
      <c r="B150" s="35" t="str">
        <f>All!B156</f>
        <v/>
      </c>
      <c r="C150" s="35" t="str">
        <f>All!D156</f>
        <v/>
      </c>
      <c r="D150" s="35" t="str">
        <f>All!C156</f>
        <v/>
      </c>
      <c r="K150" s="3"/>
    </row>
    <row r="151" hidden="1">
      <c r="A151" s="35" t="str">
        <f>All!A157</f>
        <v/>
      </c>
      <c r="B151" s="35" t="str">
        <f>All!B157</f>
        <v/>
      </c>
      <c r="C151" s="35" t="str">
        <f>All!D157</f>
        <v/>
      </c>
      <c r="D151" s="35" t="str">
        <f>All!C157</f>
        <v/>
      </c>
      <c r="K151" s="3"/>
    </row>
    <row r="152" hidden="1">
      <c r="A152" s="35" t="str">
        <f>All!A158</f>
        <v/>
      </c>
      <c r="B152" s="35" t="str">
        <f>All!B158</f>
        <v/>
      </c>
      <c r="C152" s="35" t="str">
        <f>All!D158</f>
        <v/>
      </c>
      <c r="D152" s="35" t="str">
        <f>All!C158</f>
        <v/>
      </c>
      <c r="K152" s="3"/>
    </row>
    <row r="153" hidden="1">
      <c r="A153" s="35" t="str">
        <f>All!A159</f>
        <v/>
      </c>
      <c r="B153" s="35" t="str">
        <f>All!B159</f>
        <v/>
      </c>
      <c r="C153" s="35" t="str">
        <f>All!D159</f>
        <v/>
      </c>
      <c r="D153" s="35" t="str">
        <f>All!C159</f>
        <v/>
      </c>
      <c r="K153" s="3"/>
    </row>
    <row r="154" hidden="1">
      <c r="A154" s="35" t="str">
        <f>All!A160</f>
        <v/>
      </c>
      <c r="B154" s="35" t="str">
        <f>All!B160</f>
        <v/>
      </c>
      <c r="C154" s="35" t="str">
        <f>All!D160</f>
        <v/>
      </c>
      <c r="D154" s="35" t="str">
        <f>All!C160</f>
        <v/>
      </c>
      <c r="K154" s="3"/>
    </row>
    <row r="155" hidden="1">
      <c r="A155" s="35" t="str">
        <f>All!A161</f>
        <v/>
      </c>
      <c r="B155" s="35" t="str">
        <f>All!B161</f>
        <v/>
      </c>
      <c r="C155" s="35" t="str">
        <f>All!D161</f>
        <v/>
      </c>
      <c r="D155" s="35" t="str">
        <f>All!C161</f>
        <v/>
      </c>
      <c r="K155" s="3"/>
    </row>
    <row r="156" hidden="1">
      <c r="A156" s="35" t="str">
        <f>All!A162</f>
        <v/>
      </c>
      <c r="B156" s="35" t="str">
        <f>All!B162</f>
        <v/>
      </c>
      <c r="C156" s="35" t="str">
        <f>All!D162</f>
        <v/>
      </c>
      <c r="D156" s="35" t="str">
        <f>All!C162</f>
        <v/>
      </c>
      <c r="K156" s="3"/>
    </row>
    <row r="157" hidden="1">
      <c r="A157" s="35" t="str">
        <f>All!A163</f>
        <v/>
      </c>
      <c r="B157" s="35" t="str">
        <f>All!B163</f>
        <v/>
      </c>
      <c r="C157" s="35" t="str">
        <f>All!D163</f>
        <v/>
      </c>
      <c r="D157" s="35" t="str">
        <f>All!C163</f>
        <v/>
      </c>
      <c r="K157" s="3"/>
    </row>
    <row r="158" hidden="1">
      <c r="A158" s="35" t="str">
        <f>All!A164</f>
        <v/>
      </c>
      <c r="B158" s="35" t="str">
        <f>All!B164</f>
        <v/>
      </c>
      <c r="C158" s="35" t="str">
        <f>All!D164</f>
        <v/>
      </c>
      <c r="D158" s="35" t="str">
        <f>All!C164</f>
        <v/>
      </c>
      <c r="K158" s="3"/>
    </row>
    <row r="159" hidden="1">
      <c r="A159" s="35" t="str">
        <f>All!A165</f>
        <v/>
      </c>
      <c r="B159" s="35" t="str">
        <f>All!B165</f>
        <v/>
      </c>
      <c r="C159" s="35" t="str">
        <f>All!D165</f>
        <v/>
      </c>
      <c r="D159" s="35" t="str">
        <f>All!C165</f>
        <v/>
      </c>
      <c r="K159" s="3"/>
    </row>
    <row r="160" hidden="1">
      <c r="A160" s="35" t="str">
        <f>All!A166</f>
        <v/>
      </c>
      <c r="B160" s="35" t="str">
        <f>All!B166</f>
        <v/>
      </c>
      <c r="C160" s="35" t="str">
        <f>All!D166</f>
        <v/>
      </c>
      <c r="D160" s="35" t="str">
        <f>All!C166</f>
        <v/>
      </c>
      <c r="K160" s="3"/>
    </row>
    <row r="161" hidden="1">
      <c r="A161" s="35" t="str">
        <f>All!A167</f>
        <v/>
      </c>
      <c r="B161" s="35" t="str">
        <f>All!B167</f>
        <v/>
      </c>
      <c r="C161" s="35" t="str">
        <f>All!D167</f>
        <v/>
      </c>
      <c r="D161" s="35" t="str">
        <f>All!C167</f>
        <v/>
      </c>
      <c r="K161" s="3"/>
    </row>
    <row r="162" hidden="1">
      <c r="A162" s="35" t="str">
        <f>All!A168</f>
        <v/>
      </c>
      <c r="B162" s="35" t="str">
        <f>All!B168</f>
        <v/>
      </c>
      <c r="C162" s="35" t="str">
        <f>All!D168</f>
        <v/>
      </c>
      <c r="D162" s="35" t="str">
        <f>All!C168</f>
        <v/>
      </c>
      <c r="K162" s="3"/>
    </row>
    <row r="163" hidden="1">
      <c r="A163" s="35" t="str">
        <f>All!A169</f>
        <v/>
      </c>
      <c r="B163" s="35" t="str">
        <f>All!B169</f>
        <v/>
      </c>
      <c r="C163" s="35" t="str">
        <f>All!D169</f>
        <v/>
      </c>
      <c r="D163" s="35" t="str">
        <f>All!C169</f>
        <v/>
      </c>
      <c r="K163" s="3"/>
    </row>
    <row r="164" hidden="1">
      <c r="A164" s="35" t="str">
        <f>All!A170</f>
        <v/>
      </c>
      <c r="B164" s="35" t="str">
        <f>All!B170</f>
        <v/>
      </c>
      <c r="C164" s="35" t="str">
        <f>All!D170</f>
        <v/>
      </c>
      <c r="D164" s="35" t="str">
        <f>All!C170</f>
        <v/>
      </c>
      <c r="K164" s="3"/>
    </row>
    <row r="165" hidden="1">
      <c r="A165" s="35" t="str">
        <f>All!A171</f>
        <v/>
      </c>
      <c r="B165" s="35" t="str">
        <f>All!B171</f>
        <v/>
      </c>
      <c r="C165" s="35" t="str">
        <f>All!D171</f>
        <v/>
      </c>
      <c r="D165" s="35" t="str">
        <f>All!C171</f>
        <v/>
      </c>
      <c r="K165" s="3"/>
    </row>
    <row r="166" hidden="1">
      <c r="A166" s="35" t="str">
        <f>All!A172</f>
        <v/>
      </c>
      <c r="B166" s="35" t="str">
        <f>All!B172</f>
        <v/>
      </c>
      <c r="C166" s="35" t="str">
        <f>All!D172</f>
        <v/>
      </c>
      <c r="D166" s="35" t="str">
        <f>All!C172</f>
        <v/>
      </c>
      <c r="K166" s="3"/>
    </row>
    <row r="167" hidden="1">
      <c r="A167" s="35" t="str">
        <f>All!A173</f>
        <v/>
      </c>
      <c r="B167" s="35" t="str">
        <f>All!B173</f>
        <v/>
      </c>
      <c r="C167" s="35" t="str">
        <f>All!D173</f>
        <v/>
      </c>
      <c r="D167" s="35" t="str">
        <f>All!C173</f>
        <v/>
      </c>
      <c r="K167" s="3"/>
    </row>
    <row r="168" hidden="1">
      <c r="A168" s="35" t="str">
        <f>All!A174</f>
        <v/>
      </c>
      <c r="B168" s="35" t="str">
        <f>All!B174</f>
        <v/>
      </c>
      <c r="C168" s="35" t="str">
        <f>All!D174</f>
        <v/>
      </c>
      <c r="D168" s="35" t="str">
        <f>All!C174</f>
        <v/>
      </c>
      <c r="K168" s="3"/>
    </row>
    <row r="169" hidden="1">
      <c r="A169" s="35" t="str">
        <f>All!A175</f>
        <v/>
      </c>
      <c r="B169" s="35" t="str">
        <f>All!B175</f>
        <v/>
      </c>
      <c r="C169" s="35" t="str">
        <f>All!D175</f>
        <v/>
      </c>
      <c r="D169" s="35" t="str">
        <f>All!C175</f>
        <v/>
      </c>
      <c r="K169" s="3"/>
    </row>
    <row r="170" hidden="1">
      <c r="A170" s="35" t="str">
        <f>All!A176</f>
        <v/>
      </c>
      <c r="B170" s="35" t="str">
        <f>All!B176</f>
        <v/>
      </c>
      <c r="C170" s="35" t="str">
        <f>All!D176</f>
        <v/>
      </c>
      <c r="D170" s="35" t="str">
        <f>All!C176</f>
        <v/>
      </c>
      <c r="K170" s="3"/>
    </row>
    <row r="171" hidden="1">
      <c r="A171" s="35" t="str">
        <f>All!A177</f>
        <v/>
      </c>
      <c r="B171" s="35" t="str">
        <f>All!B177</f>
        <v/>
      </c>
      <c r="C171" s="35" t="str">
        <f>All!D177</f>
        <v/>
      </c>
      <c r="D171" s="35" t="str">
        <f>All!C177</f>
        <v/>
      </c>
      <c r="K171" s="3"/>
    </row>
    <row r="172" hidden="1">
      <c r="A172" s="35" t="str">
        <f>All!A178</f>
        <v/>
      </c>
      <c r="B172" s="35" t="str">
        <f>All!B178</f>
        <v/>
      </c>
      <c r="C172" s="35" t="str">
        <f>All!D178</f>
        <v/>
      </c>
      <c r="D172" s="35" t="str">
        <f>All!C178</f>
        <v/>
      </c>
      <c r="K172" s="3"/>
    </row>
    <row r="173" hidden="1">
      <c r="A173" s="35" t="str">
        <f>All!A179</f>
        <v/>
      </c>
      <c r="B173" s="35" t="str">
        <f>All!B179</f>
        <v/>
      </c>
      <c r="C173" s="35" t="str">
        <f>All!D179</f>
        <v/>
      </c>
      <c r="D173" s="35" t="str">
        <f>All!C179</f>
        <v/>
      </c>
      <c r="K173" s="3"/>
    </row>
    <row r="174" hidden="1">
      <c r="A174" s="35" t="str">
        <f>All!A180</f>
        <v/>
      </c>
      <c r="B174" s="35" t="str">
        <f>All!B180</f>
        <v/>
      </c>
      <c r="C174" s="35" t="str">
        <f>All!D180</f>
        <v/>
      </c>
      <c r="D174" s="35" t="str">
        <f>All!C180</f>
        <v/>
      </c>
      <c r="K174" s="3"/>
    </row>
    <row r="175" hidden="1">
      <c r="A175" s="35" t="str">
        <f>All!A181</f>
        <v/>
      </c>
      <c r="B175" s="35" t="str">
        <f>All!B181</f>
        <v/>
      </c>
      <c r="C175" s="35" t="str">
        <f>All!D181</f>
        <v/>
      </c>
      <c r="D175" s="35" t="str">
        <f>All!C181</f>
        <v/>
      </c>
      <c r="K175" s="3"/>
    </row>
    <row r="176" hidden="1">
      <c r="A176" s="35" t="str">
        <f>All!A182</f>
        <v/>
      </c>
      <c r="B176" s="35" t="str">
        <f>All!B182</f>
        <v/>
      </c>
      <c r="C176" s="35" t="str">
        <f>All!D182</f>
        <v/>
      </c>
      <c r="D176" s="35" t="str">
        <f>All!C182</f>
        <v/>
      </c>
      <c r="K176" s="3"/>
    </row>
    <row r="177" hidden="1">
      <c r="A177" s="35" t="str">
        <f>All!A183</f>
        <v/>
      </c>
      <c r="B177" s="35" t="str">
        <f>All!B183</f>
        <v/>
      </c>
      <c r="C177" s="35" t="str">
        <f>All!D183</f>
        <v/>
      </c>
      <c r="D177" s="35" t="str">
        <f>All!C183</f>
        <v/>
      </c>
      <c r="K177" s="3"/>
    </row>
    <row r="178" hidden="1">
      <c r="A178" s="35" t="str">
        <f>All!A184</f>
        <v/>
      </c>
      <c r="B178" s="35" t="str">
        <f>All!B184</f>
        <v/>
      </c>
      <c r="C178" s="35" t="str">
        <f>All!D184</f>
        <v/>
      </c>
      <c r="D178" s="35" t="str">
        <f>All!C184</f>
        <v/>
      </c>
      <c r="K178" s="3"/>
    </row>
    <row r="179" hidden="1">
      <c r="A179" s="35" t="str">
        <f>All!A185</f>
        <v/>
      </c>
      <c r="B179" s="35" t="str">
        <f>All!B185</f>
        <v/>
      </c>
      <c r="C179" s="35" t="str">
        <f>All!D185</f>
        <v/>
      </c>
      <c r="D179" s="35" t="str">
        <f>All!C185</f>
        <v/>
      </c>
      <c r="K179" s="3"/>
    </row>
    <row r="180" hidden="1">
      <c r="A180" s="35" t="str">
        <f>All!A186</f>
        <v/>
      </c>
      <c r="B180" s="35" t="str">
        <f>All!B186</f>
        <v/>
      </c>
      <c r="C180" s="35" t="str">
        <f>All!D186</f>
        <v/>
      </c>
      <c r="D180" s="35" t="str">
        <f>All!C186</f>
        <v/>
      </c>
      <c r="K180" s="3"/>
    </row>
    <row r="181" hidden="1">
      <c r="A181" s="35" t="str">
        <f>All!A187</f>
        <v/>
      </c>
      <c r="B181" s="35" t="str">
        <f>All!B187</f>
        <v/>
      </c>
      <c r="C181" s="35" t="str">
        <f>All!D187</f>
        <v/>
      </c>
      <c r="D181" s="35" t="str">
        <f>All!C187</f>
        <v/>
      </c>
      <c r="K181" s="3"/>
    </row>
    <row r="182" hidden="1">
      <c r="A182" s="35" t="str">
        <f>All!A188</f>
        <v/>
      </c>
      <c r="B182" s="35" t="str">
        <f>All!B188</f>
        <v/>
      </c>
      <c r="C182" s="35" t="str">
        <f>All!D188</f>
        <v/>
      </c>
      <c r="D182" s="35" t="str">
        <f>All!C188</f>
        <v/>
      </c>
      <c r="K182" s="3"/>
    </row>
    <row r="183" hidden="1">
      <c r="A183" s="35" t="str">
        <f>All!A189</f>
        <v/>
      </c>
      <c r="B183" s="35" t="str">
        <f>All!B189</f>
        <v/>
      </c>
      <c r="C183" s="35" t="str">
        <f>All!D189</f>
        <v/>
      </c>
      <c r="D183" s="35" t="str">
        <f>All!C189</f>
        <v/>
      </c>
      <c r="K183" s="3"/>
    </row>
    <row r="184" hidden="1">
      <c r="A184" s="35" t="str">
        <f>All!A190</f>
        <v/>
      </c>
      <c r="B184" s="35" t="str">
        <f>All!B190</f>
        <v/>
      </c>
      <c r="C184" s="35" t="str">
        <f>All!D190</f>
        <v/>
      </c>
      <c r="D184" s="35" t="str">
        <f>All!C190</f>
        <v/>
      </c>
      <c r="K184" s="3"/>
    </row>
    <row r="185" hidden="1">
      <c r="A185" s="35" t="str">
        <f>All!A191</f>
        <v/>
      </c>
      <c r="B185" s="35" t="str">
        <f>All!B191</f>
        <v/>
      </c>
      <c r="C185" s="35" t="str">
        <f>All!D191</f>
        <v/>
      </c>
      <c r="D185" s="35" t="str">
        <f>All!C191</f>
        <v/>
      </c>
      <c r="K185" s="3"/>
    </row>
    <row r="186" hidden="1">
      <c r="A186" s="35" t="str">
        <f>All!A192</f>
        <v/>
      </c>
      <c r="B186" s="35" t="str">
        <f>All!B192</f>
        <v/>
      </c>
      <c r="C186" s="35" t="str">
        <f>All!D192</f>
        <v/>
      </c>
      <c r="D186" s="35" t="str">
        <f>All!C192</f>
        <v/>
      </c>
      <c r="K186" s="3"/>
    </row>
    <row r="187" hidden="1">
      <c r="A187" s="35" t="str">
        <f>All!A193</f>
        <v/>
      </c>
      <c r="B187" s="35" t="str">
        <f>All!B193</f>
        <v/>
      </c>
      <c r="C187" s="35" t="str">
        <f>All!D193</f>
        <v/>
      </c>
      <c r="D187" s="35" t="str">
        <f>All!C193</f>
        <v/>
      </c>
      <c r="K187" s="3"/>
    </row>
    <row r="188" hidden="1">
      <c r="A188" s="35" t="str">
        <f>All!A194</f>
        <v/>
      </c>
      <c r="B188" s="35" t="str">
        <f>All!B194</f>
        <v/>
      </c>
      <c r="C188" s="35" t="str">
        <f>All!D194</f>
        <v/>
      </c>
      <c r="D188" s="35" t="str">
        <f>All!C194</f>
        <v/>
      </c>
      <c r="K188" s="3"/>
    </row>
    <row r="189" hidden="1">
      <c r="A189" s="35" t="str">
        <f>All!A195</f>
        <v/>
      </c>
      <c r="B189" s="35" t="str">
        <f>All!B195</f>
        <v/>
      </c>
      <c r="C189" s="35" t="str">
        <f>All!D195</f>
        <v/>
      </c>
      <c r="D189" s="35" t="str">
        <f>All!C195</f>
        <v/>
      </c>
      <c r="K189" s="3"/>
    </row>
    <row r="190" hidden="1">
      <c r="A190" s="35" t="str">
        <f>All!A196</f>
        <v/>
      </c>
      <c r="B190" s="35" t="str">
        <f>All!B196</f>
        <v/>
      </c>
      <c r="C190" s="35" t="str">
        <f>All!D196</f>
        <v/>
      </c>
      <c r="D190" s="35" t="str">
        <f>All!C196</f>
        <v/>
      </c>
      <c r="K190" s="3"/>
    </row>
    <row r="191" hidden="1">
      <c r="A191" s="35" t="str">
        <f>All!A197</f>
        <v/>
      </c>
      <c r="B191" s="35" t="str">
        <f>All!B197</f>
        <v/>
      </c>
      <c r="C191" s="35" t="str">
        <f>All!D197</f>
        <v/>
      </c>
      <c r="D191" s="35" t="str">
        <f>All!C197</f>
        <v/>
      </c>
      <c r="K191" s="3"/>
    </row>
    <row r="192" hidden="1">
      <c r="A192" s="35" t="str">
        <f>All!A198</f>
        <v/>
      </c>
      <c r="B192" s="35" t="str">
        <f>All!B198</f>
        <v/>
      </c>
      <c r="C192" s="35" t="str">
        <f>All!D198</f>
        <v/>
      </c>
      <c r="D192" s="35" t="str">
        <f>All!C198</f>
        <v/>
      </c>
      <c r="K192" s="3"/>
    </row>
    <row r="193" hidden="1">
      <c r="A193" s="35" t="str">
        <f>All!A199</f>
        <v/>
      </c>
      <c r="B193" s="35" t="str">
        <f>All!B199</f>
        <v/>
      </c>
      <c r="C193" s="35" t="str">
        <f>All!D199</f>
        <v/>
      </c>
      <c r="D193" s="35" t="str">
        <f>All!C199</f>
        <v/>
      </c>
      <c r="K193" s="3"/>
    </row>
    <row r="194" hidden="1">
      <c r="A194" s="35" t="str">
        <f>All!A200</f>
        <v/>
      </c>
      <c r="B194" s="35" t="str">
        <f>All!B200</f>
        <v/>
      </c>
      <c r="C194" s="35" t="str">
        <f>All!D200</f>
        <v/>
      </c>
      <c r="D194" s="35" t="str">
        <f>All!C200</f>
        <v/>
      </c>
      <c r="K194" s="3"/>
    </row>
    <row r="195" hidden="1">
      <c r="A195" s="35" t="str">
        <f>All!A201</f>
        <v/>
      </c>
      <c r="B195" s="35" t="str">
        <f>All!B201</f>
        <v/>
      </c>
      <c r="C195" s="35" t="str">
        <f>All!D201</f>
        <v/>
      </c>
      <c r="D195" s="35" t="str">
        <f>All!C201</f>
        <v/>
      </c>
      <c r="K195" s="3"/>
    </row>
    <row r="196" hidden="1">
      <c r="A196" s="35" t="str">
        <f>All!A202</f>
        <v/>
      </c>
      <c r="B196" s="35" t="str">
        <f>All!B202</f>
        <v/>
      </c>
      <c r="C196" s="35" t="str">
        <f>All!D202</f>
        <v/>
      </c>
      <c r="D196" s="35" t="str">
        <f>All!C202</f>
        <v/>
      </c>
      <c r="K196" s="3"/>
    </row>
    <row r="197" hidden="1">
      <c r="A197" s="35" t="str">
        <f>All!A203</f>
        <v/>
      </c>
      <c r="B197" s="35" t="str">
        <f>All!B203</f>
        <v/>
      </c>
      <c r="C197" s="35" t="str">
        <f>All!D203</f>
        <v/>
      </c>
      <c r="D197" s="35" t="str">
        <f>All!C203</f>
        <v/>
      </c>
      <c r="K197" s="3"/>
    </row>
    <row r="198" hidden="1">
      <c r="A198" s="35" t="str">
        <f>All!A204</f>
        <v/>
      </c>
      <c r="B198" s="35" t="str">
        <f>All!B204</f>
        <v/>
      </c>
      <c r="C198" s="35" t="str">
        <f>All!D204</f>
        <v/>
      </c>
      <c r="D198" s="35" t="str">
        <f>All!C204</f>
        <v/>
      </c>
      <c r="K198" s="3"/>
    </row>
    <row r="199" hidden="1">
      <c r="A199" s="35" t="str">
        <f>All!A205</f>
        <v/>
      </c>
      <c r="B199" s="35" t="str">
        <f>All!B205</f>
        <v/>
      </c>
      <c r="C199" s="35" t="str">
        <f>All!D205</f>
        <v/>
      </c>
      <c r="D199" s="35" t="str">
        <f>All!C205</f>
        <v/>
      </c>
      <c r="K199" s="3"/>
    </row>
  </sheetData>
  <autoFilter ref="$D$1:$D$199">
    <filterColumn colId="0">
      <filters>
        <filter val="Angel"/>
        <filter val="Series A Extension"/>
        <filter val="Seed"/>
        <filter val="Pre-seed"/>
        <filter val="Round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13"/>
    <col customWidth="1" min="2" max="2" width="6.75"/>
    <col customWidth="1" min="3" max="3" width="81.13"/>
    <col customWidth="1" min="4" max="4" width="17.88"/>
    <col hidden="1" min="5" max="12" width="12.63"/>
  </cols>
  <sheetData>
    <row r="1">
      <c r="A1" s="36" t="s">
        <v>25</v>
      </c>
      <c r="B1" s="37"/>
      <c r="C1" s="38"/>
      <c r="D1" s="37"/>
      <c r="K1" s="3"/>
    </row>
    <row r="2">
      <c r="A2" s="22" t="s">
        <v>13</v>
      </c>
      <c r="B2" s="39" t="s">
        <v>14</v>
      </c>
      <c r="C2" s="22" t="s">
        <v>16</v>
      </c>
      <c r="D2" s="39" t="s">
        <v>15</v>
      </c>
      <c r="E2" s="40" t="s">
        <v>13</v>
      </c>
      <c r="F2" s="40" t="s">
        <v>18</v>
      </c>
      <c r="G2" s="40" t="s">
        <v>19</v>
      </c>
      <c r="H2" s="40" t="s">
        <v>20</v>
      </c>
      <c r="I2" s="40"/>
      <c r="J2" s="40" t="s">
        <v>15</v>
      </c>
      <c r="K2" s="41" t="s">
        <v>21</v>
      </c>
      <c r="L2" s="42"/>
    </row>
    <row r="3" hidden="1">
      <c r="A3" s="28" t="str">
        <f>All!A58</f>
        <v>Ageras</v>
      </c>
      <c r="B3" s="35" t="str">
        <f>All!B58</f>
        <v>$36m</v>
      </c>
      <c r="C3" s="28" t="str">
        <f>All!D58</f>
        <v>Teardown of Ageras's $36m Private Equity deck</v>
      </c>
      <c r="D3" s="35" t="str">
        <f>All!C58</f>
        <v>Private Equity</v>
      </c>
      <c r="K3" s="3"/>
    </row>
    <row r="4" hidden="1">
      <c r="A4" s="28" t="str">
        <f>All!A21</f>
        <v>Arkive</v>
      </c>
      <c r="B4" s="35" t="str">
        <f>All!B21</f>
        <v>$9.7m</v>
      </c>
      <c r="C4" s="28" t="str">
        <f>All!D21</f>
        <v>Teardown of Arkive's $9.7m Seed deck</v>
      </c>
      <c r="D4" s="35" t="str">
        <f>All!C21</f>
        <v>Seed</v>
      </c>
      <c r="K4" s="3"/>
    </row>
    <row r="5">
      <c r="A5" s="28" t="str">
        <f>All!A79</f>
        <v>Aether</v>
      </c>
      <c r="B5" s="43" t="str">
        <f>All!B79</f>
        <v>$49m</v>
      </c>
      <c r="C5" s="28" t="str">
        <f>All!D79</f>
        <v>Teardown of Aether's $49m Series A deck</v>
      </c>
      <c r="D5" s="43" t="str">
        <f>All!C79</f>
        <v>Series A</v>
      </c>
      <c r="K5" s="3"/>
    </row>
    <row r="6" hidden="1">
      <c r="A6" s="28" t="str">
        <f>All!A12</f>
        <v>BoxedUp</v>
      </c>
      <c r="B6" s="35" t="str">
        <f>All!B12</f>
        <v>$2.3m</v>
      </c>
      <c r="C6" s="28" t="str">
        <f>All!D12</f>
        <v>Teardown of BoxedUp's $2.3m Seed deck</v>
      </c>
      <c r="D6" s="35" t="str">
        <f>All!C12</f>
        <v>Seed</v>
      </c>
      <c r="K6" s="3"/>
    </row>
    <row r="7">
      <c r="A7" s="28" t="str">
        <f>All!A71</f>
        <v>BusRight</v>
      </c>
      <c r="B7" s="43" t="str">
        <f>All!B71</f>
        <v>$7m</v>
      </c>
      <c r="C7" s="28" t="str">
        <f>All!D71</f>
        <v>Teardown of BusRight's $7m Series A deck</v>
      </c>
      <c r="D7" s="43" t="str">
        <f>All!C71</f>
        <v>Series A</v>
      </c>
      <c r="K7" s="3"/>
    </row>
    <row r="8" hidden="1">
      <c r="A8" s="28" t="str">
        <f>All!A66</f>
        <v>CleanHub</v>
      </c>
      <c r="B8" s="35" t="str">
        <f>All!B66</f>
        <v>$7m</v>
      </c>
      <c r="C8" s="28" t="str">
        <f>All!D66</f>
        <v>Teardown of CleanHub's $7m Seed deck</v>
      </c>
      <c r="D8" s="35" t="str">
        <f>All!C66</f>
        <v>Seed</v>
      </c>
      <c r="K8" s="3"/>
    </row>
    <row r="9" hidden="1">
      <c r="A9" s="28" t="str">
        <f>All!A22</f>
        <v>Alto Pharmacy</v>
      </c>
      <c r="B9" s="35" t="str">
        <f>All!B22</f>
        <v>$200m</v>
      </c>
      <c r="C9" s="28" t="str">
        <f>All!D22</f>
        <v>Teardown of Alto Pharmacy's $200m Series E deck</v>
      </c>
      <c r="D9" s="35" t="str">
        <f>All!C22</f>
        <v>Series E</v>
      </c>
      <c r="K9" s="3"/>
    </row>
    <row r="10" hidden="1">
      <c r="A10" s="28" t="str">
        <f>All!A69</f>
        <v>ANYbotics AG</v>
      </c>
      <c r="B10" s="35" t="str">
        <f>All!B69</f>
        <v>$50m</v>
      </c>
      <c r="C10" s="28" t="str">
        <f>All!D69</f>
        <v>Teardown of ANYbotics AG's $50m Series B deck</v>
      </c>
      <c r="D10" s="35" t="str">
        <f>All!C69</f>
        <v>Series B</v>
      </c>
      <c r="K10" s="3"/>
    </row>
    <row r="11">
      <c r="A11" s="28" t="str">
        <f>All!A55</f>
        <v>Careerist</v>
      </c>
      <c r="B11" s="43" t="str">
        <f>All!B55</f>
        <v>$8m</v>
      </c>
      <c r="C11" s="28" t="str">
        <f>All!D55</f>
        <v>Teardown of Careerist's $8m Series A deck</v>
      </c>
      <c r="D11" s="43" t="str">
        <f>All!C55</f>
        <v>Series A</v>
      </c>
      <c r="K11" s="3"/>
    </row>
    <row r="12" hidden="1">
      <c r="A12" s="28" t="str">
        <f>All!A61</f>
        <v>CulturePulse</v>
      </c>
      <c r="B12" s="35" t="str">
        <f>All!B61</f>
        <v>$1m</v>
      </c>
      <c r="C12" s="28" t="str">
        <f>All!D61</f>
        <v>Teardown of CulturePulse's $1m Seed deck</v>
      </c>
      <c r="D12" s="35" t="str">
        <f>All!C61</f>
        <v>Seed</v>
      </c>
      <c r="K12" s="3"/>
    </row>
    <row r="13" hidden="1">
      <c r="A13" s="28" t="str">
        <f>All!A70</f>
        <v>DeckMatch</v>
      </c>
      <c r="B13" s="35" t="str">
        <f>All!B70</f>
        <v>$1m</v>
      </c>
      <c r="C13" s="28" t="str">
        <f>All!D70</f>
        <v>Teardown of DeckMatch's $1m Seed deck</v>
      </c>
      <c r="D13" s="35" t="str">
        <f>All!C70</f>
        <v>Seed</v>
      </c>
      <c r="K13" s="3"/>
    </row>
    <row r="14" hidden="1">
      <c r="A14" s="28" t="str">
        <f>All!A16</f>
        <v>Ergeon</v>
      </c>
      <c r="B14" s="35" t="str">
        <f>All!B16</f>
        <v>$40m</v>
      </c>
      <c r="C14" s="28" t="str">
        <f>All!D16</f>
        <v>Teardown of Ergeon's $40m Series B deck</v>
      </c>
      <c r="D14" s="35" t="str">
        <f>All!C16</f>
        <v>Series B</v>
      </c>
      <c r="K14" s="3"/>
    </row>
    <row r="15" hidden="1">
      <c r="A15" s="28" t="str">
        <f>All!A14</f>
        <v>Encore</v>
      </c>
      <c r="B15" s="35" t="str">
        <f>All!B14</f>
        <v>$3m</v>
      </c>
      <c r="C15" s="28" t="str">
        <f>All!D14</f>
        <v>Teardown of Encore's $3m Seed deck</v>
      </c>
      <c r="D15" s="35" t="str">
        <f>All!C14</f>
        <v>Seed</v>
      </c>
      <c r="K15" s="3"/>
    </row>
    <row r="16" hidden="1">
      <c r="A16" s="28" t="str">
        <f>All!A24</f>
        <v>Five Flute</v>
      </c>
      <c r="B16" s="35" t="str">
        <f>All!B24</f>
        <v>$1.2m</v>
      </c>
      <c r="C16" s="28" t="str">
        <f>All!D24</f>
        <v>Teardown of Five Flute's $1.2m Pre-seed deck</v>
      </c>
      <c r="D16" s="35" t="str">
        <f>All!C24</f>
        <v>Pre-seed</v>
      </c>
      <c r="K16" s="3"/>
    </row>
    <row r="17" hidden="1">
      <c r="A17" s="28" t="str">
        <f>All!A19</f>
        <v>Enduring Planet</v>
      </c>
      <c r="B17" s="35" t="str">
        <f>All!B19</f>
        <v>$2m</v>
      </c>
      <c r="C17" s="28" t="str">
        <f>All!D19</f>
        <v>Teardown of Enduring Planet's $2m Seed deck</v>
      </c>
      <c r="D17" s="35" t="str">
        <f>All!C19</f>
        <v>Seed</v>
      </c>
      <c r="K17" s="3"/>
    </row>
    <row r="18" hidden="1">
      <c r="A18" s="28" t="str">
        <f>All!A82</f>
        <v>Fifth Dimension AI</v>
      </c>
      <c r="B18" s="35" t="str">
        <f>All!B82</f>
        <v>$2.8m</v>
      </c>
      <c r="C18" s="28" t="str">
        <f>All!D82</f>
        <v>Teardown of Fifth Dimension AI's $2.8m Seed deck</v>
      </c>
      <c r="D18" s="35" t="str">
        <f>All!C82</f>
        <v>Seed</v>
      </c>
      <c r="K18" s="3"/>
    </row>
    <row r="19" hidden="1">
      <c r="A19" s="28" t="str">
        <f>All!A20</f>
        <v>Forethought</v>
      </c>
      <c r="B19" s="35" t="str">
        <f>All!B20</f>
        <v>$65m</v>
      </c>
      <c r="C19" s="28" t="str">
        <f>All!D20</f>
        <v>Teardown of Forethought's $65m Series C deck</v>
      </c>
      <c r="D19" s="35" t="str">
        <f>All!C20</f>
        <v>Series C</v>
      </c>
      <c r="K19" s="3"/>
    </row>
    <row r="20">
      <c r="A20" s="28" t="str">
        <f>All!A102</f>
        <v>Cloudsmith</v>
      </c>
      <c r="B20" s="43" t="str">
        <f>All!B102</f>
        <v>$15m</v>
      </c>
      <c r="C20" s="28" t="str">
        <f>All!D102</f>
        <v>Teardown of Cloudsmith's $15m Series A deck</v>
      </c>
      <c r="D20" s="43" t="str">
        <f>All!C102</f>
        <v>Series A</v>
      </c>
      <c r="K20" s="3"/>
    </row>
    <row r="21" hidden="1">
      <c r="A21" s="28" t="str">
        <f>All!A27</f>
        <v>Front</v>
      </c>
      <c r="B21" s="35" t="str">
        <f>All!B27</f>
        <v>$65m</v>
      </c>
      <c r="C21" s="28" t="str">
        <f>All!D27</f>
        <v>Teardown of Front's $65m Series D deck</v>
      </c>
      <c r="D21" s="35" t="str">
        <f>All!C27</f>
        <v>Series D</v>
      </c>
      <c r="K21" s="3"/>
    </row>
    <row r="22">
      <c r="A22" s="28" t="str">
        <f>All!A53</f>
        <v>Diamond Standard</v>
      </c>
      <c r="B22" s="43" t="str">
        <f>All!B53</f>
        <v>$30m</v>
      </c>
      <c r="C22" s="28" t="str">
        <f>All!D53</f>
        <v>Teardown of Diamond Standard's $30m Series A deck</v>
      </c>
      <c r="D22" s="43" t="str">
        <f>All!C53</f>
        <v>Series A</v>
      </c>
      <c r="K22" s="3"/>
    </row>
    <row r="23" hidden="1">
      <c r="A23" s="28" t="str">
        <f>All!A29</f>
        <v>Party Round</v>
      </c>
      <c r="B23" s="35" t="str">
        <f>All!B29</f>
        <v>$7m</v>
      </c>
      <c r="C23" s="28" t="str">
        <f>All!D29</f>
        <v>Teardown of Party Round's $7m Angel deck</v>
      </c>
      <c r="D23" s="35" t="str">
        <f>All!C29</f>
        <v>Angel</v>
      </c>
      <c r="K23" s="3"/>
    </row>
    <row r="24">
      <c r="A24" s="28" t="str">
        <f>All!A89</f>
        <v>Doola</v>
      </c>
      <c r="B24" s="43" t="str">
        <f>All!B89</f>
        <v>$1m</v>
      </c>
      <c r="C24" s="28" t="str">
        <f>All!D89</f>
        <v>Teardown of Doola's $1m Series A extension deck</v>
      </c>
      <c r="D24" s="43" t="str">
        <f>All!C89</f>
        <v>Series A extension</v>
      </c>
      <c r="K24" s="3"/>
    </row>
    <row r="25">
      <c r="A25" s="28" t="str">
        <f>All!A11</f>
        <v>Dutch</v>
      </c>
      <c r="B25" s="43" t="str">
        <f>All!B11</f>
        <v>$20m</v>
      </c>
      <c r="C25" s="28" t="str">
        <f>All!D11</f>
        <v>Teardown of Dutch's $20m Series A deck</v>
      </c>
      <c r="D25" s="43" t="str">
        <f>All!C11</f>
        <v>Series A</v>
      </c>
      <c r="K25" s="3"/>
    </row>
    <row r="26" hidden="1">
      <c r="A26" s="28" t="str">
        <f>All!A23</f>
        <v>Glambook</v>
      </c>
      <c r="B26" s="35" t="str">
        <f>All!B23</f>
        <v>$2.5m</v>
      </c>
      <c r="C26" s="28" t="str">
        <f>All!D23</f>
        <v>Teardown of Glambook's $2.5m Seed deck</v>
      </c>
      <c r="D26" s="35" t="str">
        <f>All!C23</f>
        <v>Seed</v>
      </c>
      <c r="K26" s="3"/>
    </row>
    <row r="27" hidden="1">
      <c r="A27" s="28" t="str">
        <f>All!A85</f>
        <v>HomeCooks</v>
      </c>
      <c r="B27" s="35" t="str">
        <f>All!B85</f>
        <v>$3.2m</v>
      </c>
      <c r="C27" s="28" t="str">
        <f>All!D85</f>
        <v>Teardown of HomeCooks's $3.2m Seed deck</v>
      </c>
      <c r="D27" s="35" t="str">
        <f>All!C85</f>
        <v>Seed</v>
      </c>
      <c r="K27" s="3"/>
    </row>
    <row r="28" hidden="1">
      <c r="A28" s="28" t="str">
        <f>All!A45</f>
        <v>Incymo AI</v>
      </c>
      <c r="B28" s="35" t="str">
        <f>All!B45</f>
        <v>$850k</v>
      </c>
      <c r="C28" s="28" t="str">
        <f>All!D45</f>
        <v>Teardown of Incymo AI's $850k Seed deck</v>
      </c>
      <c r="D28" s="35" t="str">
        <f>All!C45</f>
        <v>Seed</v>
      </c>
      <c r="K28" s="3"/>
    </row>
    <row r="29">
      <c r="A29" s="28" t="str">
        <f>All!A92</f>
        <v>Equals</v>
      </c>
      <c r="B29" s="43" t="str">
        <f>All!B92</f>
        <v>$16m</v>
      </c>
      <c r="C29" s="28" t="str">
        <f>All!D92</f>
        <v>Teardown of Equals's $16m Series A deck</v>
      </c>
      <c r="D29" s="43" t="str">
        <f>All!C92</f>
        <v>Series A</v>
      </c>
      <c r="K29" s="3"/>
    </row>
    <row r="30" hidden="1">
      <c r="A30" s="28" t="str">
        <f>All!A54</f>
        <v>Honeycomb </v>
      </c>
      <c r="B30" s="35" t="str">
        <f>All!B54</f>
        <v>$50m</v>
      </c>
      <c r="C30" s="28" t="str">
        <f>All!D54</f>
        <v>Teardown of Honeycomb 's $50m Series D deck</v>
      </c>
      <c r="D30" s="35" t="str">
        <f>All!C54</f>
        <v>Series D</v>
      </c>
      <c r="K30" s="3"/>
    </row>
    <row r="31">
      <c r="A31" s="28" t="str">
        <f>All!A59</f>
        <v>Faye</v>
      </c>
      <c r="B31" s="43" t="str">
        <f>All!B59</f>
        <v>$10m</v>
      </c>
      <c r="C31" s="28" t="str">
        <f>All!D59</f>
        <v>Teardown of Faye's $10m Series A deck</v>
      </c>
      <c r="D31" s="43" t="str">
        <f>All!C59</f>
        <v>Series A</v>
      </c>
      <c r="K31" s="3"/>
    </row>
    <row r="32">
      <c r="A32" s="28" t="str">
        <f>All!A57</f>
        <v>Fibery</v>
      </c>
      <c r="B32" s="43" t="str">
        <f>All!B57</f>
        <v>$5.2m</v>
      </c>
      <c r="C32" s="28" t="str">
        <f>All!D57</f>
        <v>Teardown of Fibery's $5.2m Series A deck</v>
      </c>
      <c r="D32" s="43" t="str">
        <f>All!C57</f>
        <v>Series A</v>
      </c>
      <c r="K32" s="3"/>
    </row>
    <row r="33" hidden="1">
      <c r="A33" s="28" t="str">
        <f>All!A36</f>
        <v>Juro</v>
      </c>
      <c r="B33" s="35" t="str">
        <f>All!B36</f>
        <v>$23m</v>
      </c>
      <c r="C33" s="28" t="str">
        <f>All!D36</f>
        <v>Teardown of Juro's $23m Series B deck</v>
      </c>
      <c r="D33" s="35" t="str">
        <f>All!C36</f>
        <v>Series B</v>
      </c>
      <c r="K33" s="3"/>
    </row>
    <row r="34" hidden="1">
      <c r="A34" s="28" t="str">
        <f>All!A40</f>
        <v>Card Blanch</v>
      </c>
      <c r="B34" s="35" t="str">
        <f>All!B40</f>
        <v>$460k</v>
      </c>
      <c r="C34" s="28" t="str">
        <f>All!D40</f>
        <v>Teardown of Card Blanch's $460k Angel deck</v>
      </c>
      <c r="D34" s="35" t="str">
        <f>All!C40</f>
        <v>Angel</v>
      </c>
      <c r="K34" s="3"/>
    </row>
    <row r="35" hidden="1">
      <c r="A35" s="28" t="str">
        <f>All!A74</f>
        <v>Learn XYZ</v>
      </c>
      <c r="B35" s="35" t="str">
        <f>All!B74</f>
        <v>$3m</v>
      </c>
      <c r="C35" s="28" t="str">
        <f>All!D74</f>
        <v>Teardown of Learn XYZ's $3m Seed deck</v>
      </c>
      <c r="D35" s="35" t="str">
        <f>All!C74</f>
        <v>Seed</v>
      </c>
      <c r="K35" s="3"/>
    </row>
    <row r="36" hidden="1">
      <c r="A36" s="28" t="str">
        <f>All!A84</f>
        <v>Metafuels</v>
      </c>
      <c r="B36" s="35" t="str">
        <f>All!B84</f>
        <v>$8m</v>
      </c>
      <c r="C36" s="28" t="str">
        <f>All!D84</f>
        <v>Teardown of Metafuels's $8m Seed deck</v>
      </c>
      <c r="D36" s="35" t="str">
        <f>All!C84</f>
        <v>Seed</v>
      </c>
      <c r="K36" s="3"/>
    </row>
    <row r="37" hidden="1">
      <c r="A37" s="28" t="str">
        <f>All!A43</f>
        <v>Laoshi</v>
      </c>
      <c r="B37" s="35" t="str">
        <f>All!B43</f>
        <v>$570k</v>
      </c>
      <c r="C37" s="28" t="str">
        <f>All!D43</f>
        <v>Teardown of Laoshi's $570k Angel  deck</v>
      </c>
      <c r="D37" s="35" t="str">
        <f>All!C43</f>
        <v>Angel </v>
      </c>
      <c r="K37" s="3"/>
    </row>
    <row r="38" hidden="1">
      <c r="A38" s="28" t="str">
        <f>All!A25</f>
        <v>Mi Terro</v>
      </c>
      <c r="B38" s="35" t="str">
        <f>All!B25</f>
        <v>$1.5m</v>
      </c>
      <c r="C38" s="28" t="str">
        <f>All!D25</f>
        <v>Teardown of Mi Terro's $1.5m Seed deck</v>
      </c>
      <c r="D38" s="35" t="str">
        <f>All!C25</f>
        <v>Seed</v>
      </c>
      <c r="K38" s="3"/>
    </row>
    <row r="39" hidden="1">
      <c r="A39" s="28" t="str">
        <f>All!A10</f>
        <v>Momentum</v>
      </c>
      <c r="B39" s="35" t="str">
        <f>All!B10</f>
        <v>$5m</v>
      </c>
      <c r="C39" s="28" t="str">
        <f>All!D10</f>
        <v>Teardown of Momentum's $5m Seed deck</v>
      </c>
      <c r="D39" s="35" t="str">
        <f>All!C10</f>
        <v>Seed</v>
      </c>
      <c r="K39" s="3"/>
    </row>
    <row r="40" hidden="1">
      <c r="A40" s="28" t="str">
        <f>All!A62</f>
        <v>Netmaker</v>
      </c>
      <c r="B40" s="35" t="str">
        <f>All!B62</f>
        <v>$2.3m</v>
      </c>
      <c r="C40" s="28" t="str">
        <f>All!D62</f>
        <v>Teardown of Netmaker's $2.3m Seed deck</v>
      </c>
      <c r="D40" s="35" t="str">
        <f>All!C62</f>
        <v>Seed</v>
      </c>
      <c r="K40" s="3"/>
    </row>
    <row r="41">
      <c r="A41" s="28" t="str">
        <f>All!A47</f>
        <v>Gable</v>
      </c>
      <c r="B41" s="43" t="str">
        <f>All!B47</f>
        <v>$16m</v>
      </c>
      <c r="C41" s="28" t="str">
        <f>All!D47</f>
        <v>Teardown of Gable's $16m Series A deck</v>
      </c>
      <c r="D41" s="43" t="str">
        <f>All!C47</f>
        <v>Series A</v>
      </c>
      <c r="K41" s="3"/>
    </row>
    <row r="42" hidden="1">
      <c r="A42" s="28" t="str">
        <f>All!A48</f>
        <v>MiO Marketplace</v>
      </c>
      <c r="B42" s="35" t="str">
        <f>All!B48</f>
        <v>$550k</v>
      </c>
      <c r="C42" s="28" t="str">
        <f>All!D48</f>
        <v>Teardown of MiO Marketplace's $550k Angel deck</v>
      </c>
      <c r="D42" s="35" t="str">
        <f>All!C48</f>
        <v>Angel</v>
      </c>
      <c r="K42" s="3"/>
    </row>
    <row r="43">
      <c r="A43" s="28" t="str">
        <f>All!A65</f>
        <v>GoodBuy Gear</v>
      </c>
      <c r="B43" s="43" t="str">
        <f>All!B65</f>
        <v>$5m</v>
      </c>
      <c r="C43" s="28" t="str">
        <f>All!D65</f>
        <v>Teardown of GoodBuy Gear's $5m Series A Extension deck</v>
      </c>
      <c r="D43" s="43" t="str">
        <f>All!C65</f>
        <v>Series A Extension</v>
      </c>
      <c r="K43" s="3"/>
    </row>
    <row r="44" hidden="1">
      <c r="A44" s="28" t="str">
        <f>All!A64</f>
        <v>Nokod Security</v>
      </c>
      <c r="B44" s="35" t="str">
        <f>All!B64</f>
        <v>$8m</v>
      </c>
      <c r="C44" s="28" t="str">
        <f>All!D64</f>
        <v>Teardown of Nokod Security's $8m Seed deck</v>
      </c>
      <c r="D44" s="35" t="str">
        <f>All!C64</f>
        <v>Seed</v>
      </c>
      <c r="K44" s="3"/>
    </row>
    <row r="45" hidden="1">
      <c r="A45" s="28" t="str">
        <f>All!A15</f>
        <v>Lunchbox</v>
      </c>
      <c r="B45" s="35" t="str">
        <f>All!B15</f>
        <v>$50m</v>
      </c>
      <c r="C45" s="28" t="str">
        <f>All!D15</f>
        <v>Teardown of Lunchbox's $50m Series B deck</v>
      </c>
      <c r="D45" s="35" t="str">
        <f>All!C15</f>
        <v>Series B</v>
      </c>
      <c r="K45" s="3"/>
    </row>
    <row r="46" hidden="1">
      <c r="A46" s="28" t="str">
        <f>All!A39</f>
        <v>MedCrypt</v>
      </c>
      <c r="B46" s="35" t="str">
        <f>All!B39</f>
        <v>$25m</v>
      </c>
      <c r="C46" s="28" t="str">
        <f>All!D39</f>
        <v>Teardown of MedCrypt's $25m Series B deck</v>
      </c>
      <c r="D46" s="35" t="str">
        <f>All!C39</f>
        <v>Series B</v>
      </c>
      <c r="K46" s="3"/>
    </row>
    <row r="47">
      <c r="A47" s="28" t="str">
        <f>All!A28</f>
        <v>Helu</v>
      </c>
      <c r="B47" s="43" t="str">
        <f>All!B28</f>
        <v>$9.8m</v>
      </c>
      <c r="C47" s="28" t="str">
        <f>All!D28</f>
        <v>Teardown of Helu's $9.8m Series A deck</v>
      </c>
      <c r="D47" s="43" t="str">
        <f>All!C28</f>
        <v>Series A</v>
      </c>
      <c r="K47" s="3"/>
    </row>
    <row r="48" hidden="1">
      <c r="A48" s="28" t="str">
        <f>All!A9</f>
        <v>Minut</v>
      </c>
      <c r="B48" s="35" t="str">
        <f>All!B9</f>
        <v>$15m</v>
      </c>
      <c r="C48" s="28" t="str">
        <f>All!D9</f>
        <v>Teardown of Minut's $15m Series B deck</v>
      </c>
      <c r="D48" s="35" t="str">
        <f>All!C9</f>
        <v>Series B</v>
      </c>
      <c r="E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F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G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H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J48" s="31" t="str">
        <f>IFERROR(__xludf.DUMMYFUNCTION("IMPORTRANGE(""https://docs.google.com/spreadsheets/d/1OQ79yI7ybUs56Ub4nNEkzOqn6dcjxpoFzyHkXs7Li7k/edit#gid=140951978"",concatenate(#REF!,""2:"",#REF!,1+#REF!))"),"#REF!")</f>
        <v>#REF!</v>
      </c>
      <c r="K48" s="31" t="str">
        <f>IFERROR(__xludf.DUMMYFUNCTION("IMPORTRANGE(""https://docs.google.com/spreadsheets/d/1OQ79yI7ybUs56Ub4nNEkzOqn6dcjxpoFzyHkXs7Li7k/edit#gid=140951978"",concatenate(#REF!,""2:"",#REF!,1+#REF!))"),"#REF!")</f>
        <v>#REF!</v>
      </c>
    </row>
    <row r="49">
      <c r="A49" s="28" t="str">
        <f>All!A37</f>
        <v>Hour One</v>
      </c>
      <c r="B49" s="43" t="str">
        <f>All!B37</f>
        <v>$20m</v>
      </c>
      <c r="C49" s="28" t="str">
        <f>All!D37</f>
        <v>Teardown of Hour One's $20m Series A deck</v>
      </c>
      <c r="D49" s="43" t="str">
        <f>All!C37</f>
        <v>Series A</v>
      </c>
      <c r="K49" s="3"/>
    </row>
    <row r="50" hidden="1">
      <c r="A50" s="28" t="str">
        <f>All!A60</f>
        <v>Oii AI</v>
      </c>
      <c r="B50" s="35" t="str">
        <f>All!B60</f>
        <v>$1.85m</v>
      </c>
      <c r="C50" s="28" t="str">
        <f>All!D60</f>
        <v>Teardown of Oii AI's $1.85m Seed deck</v>
      </c>
      <c r="D50" s="35" t="str">
        <f>All!C60</f>
        <v>Seed</v>
      </c>
      <c r="K50" s="3"/>
    </row>
    <row r="51">
      <c r="A51" s="28" t="str">
        <f>All!A13</f>
        <v>Lumigo</v>
      </c>
      <c r="B51" s="43" t="str">
        <f>All!B13</f>
        <v>$29m</v>
      </c>
      <c r="C51" s="28" t="str">
        <f>All!D13</f>
        <v>Teardown of Lumigo's $29m Series A deck</v>
      </c>
      <c r="D51" s="43" t="str">
        <f>All!C13</f>
        <v>Series A</v>
      </c>
      <c r="K51" s="3"/>
    </row>
    <row r="52" hidden="1">
      <c r="A52" s="28" t="str">
        <f>All!A51</f>
        <v>Northspyre</v>
      </c>
      <c r="B52" s="35" t="str">
        <f>All!B51</f>
        <v>$25m</v>
      </c>
      <c r="C52" s="28" t="str">
        <f>All!D51</f>
        <v>Teardown of Northspyre's $25m Series B deck</v>
      </c>
      <c r="D52" s="35" t="str">
        <f>All!C51</f>
        <v>Series B</v>
      </c>
      <c r="K52" s="3"/>
    </row>
    <row r="53">
      <c r="A53" s="28" t="str">
        <f>All!A77</f>
        <v>Lupiya</v>
      </c>
      <c r="B53" s="43" t="str">
        <f>All!B77</f>
        <v>$8.3m</v>
      </c>
      <c r="C53" s="28" t="str">
        <f>All!D77</f>
        <v>Teardown of Lupiya's $8.3m Series A deck</v>
      </c>
      <c r="D53" s="43" t="str">
        <f>All!C77</f>
        <v>Series A</v>
      </c>
      <c r="K53" s="3"/>
    </row>
    <row r="54" hidden="1">
      <c r="A54" s="28" t="str">
        <f>All!A42</f>
        <v>Orange</v>
      </c>
      <c r="B54" s="35" t="str">
        <f>All!B42</f>
        <v>$2.5m</v>
      </c>
      <c r="C54" s="28" t="str">
        <f>All!D42</f>
        <v>Teardown of Orange's $2.5m Seed deck</v>
      </c>
      <c r="D54" s="35" t="str">
        <f>All!C42</f>
        <v>Seed</v>
      </c>
      <c r="K54" s="3"/>
    </row>
    <row r="55" hidden="1">
      <c r="A55" s="28" t="str">
        <f>All!A33</f>
        <v>Palau Project </v>
      </c>
      <c r="B55" s="35" t="str">
        <f>All!B33</f>
        <v>$125k</v>
      </c>
      <c r="C55" s="28" t="str">
        <f>All!D33</f>
        <v>Teardown of Palau Project 's $125k Pre-seed deck</v>
      </c>
      <c r="D55" s="35" t="str">
        <f>All!C33</f>
        <v>Pre-seed</v>
      </c>
      <c r="K55" s="3"/>
    </row>
    <row r="56" hidden="1">
      <c r="A56" s="28" t="str">
        <f>All!A86</f>
        <v>Pepper Bio</v>
      </c>
      <c r="B56" s="35" t="str">
        <f>All!B86</f>
        <v>$6.5m</v>
      </c>
      <c r="C56" s="28" t="str">
        <f>All!D86</f>
        <v>Teardown of Pepper Bio's $6.5m Seed deck</v>
      </c>
      <c r="D56" s="35" t="str">
        <f>All!C86</f>
        <v>Seed</v>
      </c>
      <c r="K56" s="3"/>
    </row>
    <row r="57">
      <c r="A57" s="28" t="str">
        <f>All!A90</f>
        <v>PhageLab</v>
      </c>
      <c r="B57" s="43" t="str">
        <f>All!B90</f>
        <v>$11m</v>
      </c>
      <c r="C57" s="28" t="str">
        <f>All!D90</f>
        <v>Teardown of PhageLab's $11m Series A deck</v>
      </c>
      <c r="D57" s="43" t="str">
        <f>All!C90</f>
        <v>Series A</v>
      </c>
      <c r="K57" s="3"/>
    </row>
    <row r="58" hidden="1">
      <c r="A58" s="28" t="str">
        <f>All!A50</f>
        <v>Prelaunch</v>
      </c>
      <c r="B58" s="35" t="str">
        <f>All!B50</f>
        <v>$1.5m</v>
      </c>
      <c r="C58" s="28" t="str">
        <f>All!D50</f>
        <v>Teardown of Prelaunch's $1.5m Seed deck</v>
      </c>
      <c r="D58" s="35" t="str">
        <f>All!C50</f>
        <v>Seed</v>
      </c>
      <c r="K58" s="3"/>
    </row>
    <row r="59">
      <c r="A59" s="28" t="str">
        <f>All!A81</f>
        <v>Phospholutions</v>
      </c>
      <c r="B59" s="43" t="str">
        <f>All!B81</f>
        <v>$10.15m</v>
      </c>
      <c r="C59" s="28" t="str">
        <f>All!D81</f>
        <v>Teardown of Phospholutions's $10.15m Series A extension deck</v>
      </c>
      <c r="D59" s="43" t="str">
        <f>All!C81</f>
        <v>Series A extension</v>
      </c>
      <c r="K59" s="3"/>
    </row>
    <row r="60" hidden="1">
      <c r="A60" s="28" t="str">
        <f>All!A87</f>
        <v>Qortex</v>
      </c>
      <c r="B60" s="35" t="str">
        <f>All!B87</f>
        <v>$10m</v>
      </c>
      <c r="C60" s="28" t="str">
        <f>All!D87</f>
        <v>Teardown of Qortex's $10m Seed deck</v>
      </c>
      <c r="D60" s="35" t="str">
        <f>All!C87</f>
        <v>Seed</v>
      </c>
      <c r="K60" s="3"/>
    </row>
    <row r="61" hidden="1">
      <c r="A61" s="28" t="str">
        <f>All!A52</f>
        <v>Smalls</v>
      </c>
      <c r="B61" s="35" t="str">
        <f>All!B52</f>
        <v>$19m</v>
      </c>
      <c r="C61" s="28" t="str">
        <f>All!D52</f>
        <v>Teardown of Smalls's $19m Series B deck</v>
      </c>
      <c r="D61" s="35" t="str">
        <f>All!C52</f>
        <v>Series B</v>
      </c>
      <c r="K61" s="3"/>
    </row>
    <row r="62" hidden="1">
      <c r="A62" s="28" t="str">
        <f>All!A88</f>
        <v>Ryplzz</v>
      </c>
      <c r="B62" s="35" t="str">
        <f>All!B88</f>
        <v>$3m</v>
      </c>
      <c r="C62" s="28" t="str">
        <f>All!D88</f>
        <v>Teardown of Ryplzz's $3m Seed deck</v>
      </c>
      <c r="D62" s="35" t="str">
        <f>All!C88</f>
        <v>Seed</v>
      </c>
      <c r="K62" s="3"/>
    </row>
    <row r="63" hidden="1">
      <c r="A63" s="28" t="str">
        <f>All!A68</f>
        <v>SquadTrip</v>
      </c>
      <c r="B63" s="35" t="str">
        <f>All!B68</f>
        <v>$1.5m</v>
      </c>
      <c r="C63" s="28" t="str">
        <f>All!D68</f>
        <v>Teardown of SquadTrip's $1.5m Pre-seed deck</v>
      </c>
      <c r="D63" s="35" t="str">
        <f>All!C68</f>
        <v>Pre-seed</v>
      </c>
      <c r="K63" s="3"/>
    </row>
    <row r="64" hidden="1">
      <c r="A64" s="28" t="str">
        <f>All!A83</f>
        <v>Scalestack</v>
      </c>
      <c r="B64" s="35" t="str">
        <f>All!B83</f>
        <v>$1m</v>
      </c>
      <c r="C64" s="28" t="str">
        <f>All!D83</f>
        <v>Teardown of Scalestack's $1m Seed deck</v>
      </c>
      <c r="D64" s="35" t="str">
        <f>All!C83</f>
        <v>Seed</v>
      </c>
      <c r="K64" s="3"/>
    </row>
    <row r="65">
      <c r="A65" s="28" t="str">
        <f>All!A76</f>
        <v>point me</v>
      </c>
      <c r="B65" s="43" t="str">
        <f>All!B76</f>
        <v>$10m</v>
      </c>
      <c r="C65" s="28" t="str">
        <f>All!D76</f>
        <v>Teardown of point me's $10m Series A deck</v>
      </c>
      <c r="D65" s="43" t="str">
        <f>All!C76</f>
        <v>Series A</v>
      </c>
      <c r="K65" s="3"/>
    </row>
    <row r="66" hidden="1">
      <c r="A66" s="28" t="str">
        <f>All!A41</f>
        <v>Scrintal</v>
      </c>
      <c r="B66" s="35" t="str">
        <f>All!B41</f>
        <v>$1m</v>
      </c>
      <c r="C66" s="28" t="str">
        <f>All!D41</f>
        <v>Teardown of Scrintal's $1m Seed deck</v>
      </c>
      <c r="D66" s="35" t="str">
        <f>All!C41</f>
        <v>Seed</v>
      </c>
      <c r="K66" s="3"/>
    </row>
    <row r="67">
      <c r="A67" s="28" t="str">
        <f>All!A30</f>
        <v>Rokoko</v>
      </c>
      <c r="B67" s="43" t="str">
        <f>All!B30</f>
        <v>$3m</v>
      </c>
      <c r="C67" s="28" t="str">
        <f>All!D30</f>
        <v>Teardown of Rokoko's $3m Strategic Extension deck</v>
      </c>
      <c r="D67" s="43" t="str">
        <f>All!C30</f>
        <v>Strategic Extension</v>
      </c>
      <c r="K67" s="3"/>
    </row>
    <row r="68" hidden="1">
      <c r="A68" s="28" t="str">
        <f>All!A44</f>
        <v>Spinach</v>
      </c>
      <c r="B68" s="35" t="str">
        <f>All!B44</f>
        <v>$3.5m</v>
      </c>
      <c r="C68" s="28" t="str">
        <f>All!D44</f>
        <v>Teardown of Spinach's $3.5m Seed deck</v>
      </c>
      <c r="D68" s="35" t="str">
        <f>All!C44</f>
        <v>Seed</v>
      </c>
      <c r="K68" s="3"/>
    </row>
    <row r="69" hidden="1">
      <c r="A69" s="28" t="str">
        <f>All!A63</f>
        <v>Super </v>
      </c>
      <c r="B69" s="35" t="str">
        <f>All!B63</f>
        <v>$60m</v>
      </c>
      <c r="C69" s="28" t="str">
        <f>All!D63</f>
        <v>Teardown of Super 's $60m Series C deck</v>
      </c>
      <c r="D69" s="35" t="str">
        <f>All!C63</f>
        <v>Series C</v>
      </c>
      <c r="K69" s="3"/>
    </row>
    <row r="70">
      <c r="A70" s="28" t="str">
        <f>All!A38</f>
        <v>Rootine</v>
      </c>
      <c r="B70" s="43" t="str">
        <f>All!B38</f>
        <v>$10m</v>
      </c>
      <c r="C70" s="28" t="str">
        <f>All!D38</f>
        <v>Teardown of Rootine's $10m Series A deck</v>
      </c>
      <c r="D70" s="43" t="str">
        <f>All!C38</f>
        <v>Series A</v>
      </c>
      <c r="K70" s="3"/>
    </row>
    <row r="71">
      <c r="A71" s="28" t="str">
        <f>All!A35</f>
        <v>Sateliot</v>
      </c>
      <c r="B71" s="43" t="str">
        <f>All!B35</f>
        <v>$11.4m</v>
      </c>
      <c r="C71" s="28" t="str">
        <f>All!D35</f>
        <v>Teardown of Sateliot's $11.4m Series A deck</v>
      </c>
      <c r="D71" s="43" t="str">
        <f>All!C35</f>
        <v>Series A</v>
      </c>
      <c r="K71" s="3"/>
    </row>
    <row r="72" hidden="1">
      <c r="A72" s="28" t="str">
        <f>All!A78</f>
        <v>SplitBrick</v>
      </c>
      <c r="B72" s="35" t="str">
        <f>All!B78</f>
        <v>$200k</v>
      </c>
      <c r="C72" s="28" t="str">
        <f>All!D78</f>
        <v>Teardown of SplitBrick's $200k Angel deck</v>
      </c>
      <c r="D72" s="35" t="str">
        <f>All!C78</f>
        <v>Angel</v>
      </c>
      <c r="K72" s="3"/>
    </row>
    <row r="73">
      <c r="A73" s="28" t="str">
        <f>All!A26</f>
        <v>SIMBA Chain</v>
      </c>
      <c r="B73" s="43" t="str">
        <f>All!B26</f>
        <v>$25m</v>
      </c>
      <c r="C73" s="28" t="str">
        <f>All!D26</f>
        <v>Teardown of SIMBA Chain's $25m Series A deck</v>
      </c>
      <c r="D73" s="43" t="str">
        <f>All!C26</f>
        <v>Series A</v>
      </c>
      <c r="K73" s="3"/>
    </row>
    <row r="74" hidden="1">
      <c r="A74" s="28" t="str">
        <f>All!A80</f>
        <v>CancerVAX</v>
      </c>
      <c r="B74" s="35" t="str">
        <f>All!B80</f>
        <v>$10m</v>
      </c>
      <c r="C74" s="28" t="str">
        <f>All!D80</f>
        <v>Teardown of CancerVAX's $10m Crowdfunding deck</v>
      </c>
      <c r="D74" s="35" t="str">
        <f>All!C80</f>
        <v>Crowdfunding</v>
      </c>
      <c r="K74" s="3"/>
    </row>
    <row r="75" hidden="1">
      <c r="A75" s="28" t="str">
        <f>All!A72</f>
        <v>Tanbii</v>
      </c>
      <c r="B75" s="35" t="str">
        <f>All!B72</f>
        <v>$1.5m</v>
      </c>
      <c r="C75" s="28" t="str">
        <f>All!D72</f>
        <v>Teardown of Tanbii's $1.5m Pre-seed deck</v>
      </c>
      <c r="D75" s="35" t="str">
        <f>All!C72</f>
        <v>Pre-seed</v>
      </c>
      <c r="K75" s="3"/>
    </row>
    <row r="76" hidden="1">
      <c r="A76" s="28" t="str">
        <f>All!A75</f>
        <v>Transcend</v>
      </c>
      <c r="B76" s="35" t="str">
        <f>All!B75</f>
        <v>$20m</v>
      </c>
      <c r="C76" s="28" t="str">
        <f>All!D75</f>
        <v>Teardown of Transcend's $20m Series B deck</v>
      </c>
      <c r="D76" s="35" t="str">
        <f>All!C75</f>
        <v>Series B</v>
      </c>
      <c r="K76" s="3"/>
    </row>
    <row r="77" hidden="1">
      <c r="A77" s="28" t="str">
        <f>All!A32</f>
        <v>Supliful</v>
      </c>
      <c r="B77" s="35" t="str">
        <f>All!B32</f>
        <v>$1m</v>
      </c>
      <c r="C77" s="28" t="str">
        <f>All!D32</f>
        <v>Teardown of Supliful's $1m Seed deck</v>
      </c>
      <c r="D77" s="35" t="str">
        <f>All!C32</f>
        <v>Seed</v>
      </c>
      <c r="K77" s="3"/>
    </row>
    <row r="78" hidden="1">
      <c r="A78" s="28" t="str">
        <f>All!A34</f>
        <v>Syneroid Technologies</v>
      </c>
      <c r="B78" s="35" t="str">
        <f>All!B34</f>
        <v>$500k</v>
      </c>
      <c r="C78" s="28" t="str">
        <f>All!D34</f>
        <v>Teardown of Syneroid Technologies's $500k Seed deck</v>
      </c>
      <c r="D78" s="35" t="str">
        <f>All!C34</f>
        <v>Seed</v>
      </c>
      <c r="K78" s="3"/>
    </row>
    <row r="79" hidden="1">
      <c r="A79" s="28" t="str">
        <f>All!A46</f>
        <v>Uber</v>
      </c>
      <c r="B79" s="35" t="str">
        <f>All!B46</f>
        <v>$200k</v>
      </c>
      <c r="C79" s="28" t="str">
        <f>All!D46</f>
        <v>Teardown of Uber's $200k Pre-seed deck</v>
      </c>
      <c r="D79" s="35" t="str">
        <f>All!C46</f>
        <v>Pre-seed</v>
      </c>
      <c r="K79" s="3"/>
    </row>
    <row r="80" hidden="1">
      <c r="A80" s="35" t="str">
        <f>All!A56</f>
        <v>The Perfect Pitch Deck</v>
      </c>
      <c r="B80" s="35" t="str">
        <f>All!B56</f>
        <v>$1m</v>
      </c>
      <c r="C80" s="28" t="str">
        <f>All!D56</f>
        <v>Teardown of The Perfect Pitch Deck's $1m Seed deck</v>
      </c>
      <c r="D80" s="35" t="str">
        <f>All!C56</f>
        <v>Seed</v>
      </c>
      <c r="K80" s="3"/>
    </row>
    <row r="81" hidden="1">
      <c r="A81" s="28" t="str">
        <f>All!A67</f>
        <v>Unito</v>
      </c>
      <c r="B81" s="35" t="str">
        <f>All!B67</f>
        <v>$20m</v>
      </c>
      <c r="C81" s="28" t="str">
        <f>All!D67</f>
        <v>Teardown of Unito's $20m Series B deck</v>
      </c>
      <c r="D81" s="35" t="str">
        <f>All!C67</f>
        <v>Series B</v>
      </c>
      <c r="K81" s="3"/>
    </row>
    <row r="82" hidden="1">
      <c r="A82" s="28" t="str">
        <f>All!A18</f>
        <v>Wilco</v>
      </c>
      <c r="B82" s="35" t="str">
        <f>All!B18</f>
        <v>$7m</v>
      </c>
      <c r="C82" s="28" t="str">
        <f>All!D18</f>
        <v>Teardown of Wilco's $7m Seed deck</v>
      </c>
      <c r="D82" s="35" t="str">
        <f>All!C18</f>
        <v>Seed</v>
      </c>
      <c r="K82" s="3"/>
    </row>
    <row r="83" hidden="1">
      <c r="A83" s="28" t="str">
        <f>All!A17</f>
        <v>WayRay</v>
      </c>
      <c r="B83" s="35" t="str">
        <f>All!B17</f>
        <v>$80m</v>
      </c>
      <c r="C83" s="28" t="str">
        <f>All!D17</f>
        <v>Teardown of WayRay's $80m Series E deck</v>
      </c>
      <c r="D83" s="35" t="str">
        <f>All!C17</f>
        <v>Series E</v>
      </c>
      <c r="K83" s="3"/>
    </row>
    <row r="84">
      <c r="A84" s="28" t="str">
        <f>All!A49</f>
        <v>StudentFinance</v>
      </c>
      <c r="B84" s="43" t="str">
        <f>All!B49</f>
        <v>$41m</v>
      </c>
      <c r="C84" s="28" t="str">
        <f>All!D49</f>
        <v>Teardown of StudentFinance's $41m Series A deck</v>
      </c>
      <c r="D84" s="43" t="str">
        <f>All!C49</f>
        <v>Series A</v>
      </c>
      <c r="K84" s="3"/>
    </row>
    <row r="85">
      <c r="A85" s="28" t="str">
        <f>All!A95</f>
        <v>SuperScale</v>
      </c>
      <c r="B85" s="43" t="str">
        <f>All!B95</f>
        <v>$4.4m</v>
      </c>
      <c r="C85" s="28" t="str">
        <f>All!D95</f>
        <v>Teardown of SuperScale's $4.4m Series A deck</v>
      </c>
      <c r="D85" s="43" t="str">
        <f>All!C95</f>
        <v>Series A</v>
      </c>
      <c r="K85" s="3"/>
    </row>
    <row r="86">
      <c r="A86" s="28" t="str">
        <f>All!A73</f>
        <v>Tomorrow University of Applied Sciences</v>
      </c>
      <c r="B86" s="43" t="str">
        <f>All!B73</f>
        <v>$10m</v>
      </c>
      <c r="C86" s="28" t="str">
        <f>All!D73</f>
        <v>Teardown of Tomorrow University of Applied Sciences's $10m Series A deck</v>
      </c>
      <c r="D86" s="43" t="str">
        <f>All!C73</f>
        <v>Series A</v>
      </c>
      <c r="K86" s="3"/>
    </row>
    <row r="87" hidden="1">
      <c r="A87" s="28" t="str">
        <f>All!A93</f>
        <v>CommandBar</v>
      </c>
      <c r="B87" s="35" t="str">
        <f>All!B93</f>
        <v>$4.8m</v>
      </c>
      <c r="C87" s="28" t="str">
        <f>All!D93</f>
        <v>Teardown of CommandBar's $4.8m Seed deck</v>
      </c>
      <c r="D87" s="35" t="str">
        <f>All!C93</f>
        <v>Seed</v>
      </c>
      <c r="K87" s="3"/>
    </row>
    <row r="88" hidden="1">
      <c r="A88" s="28" t="str">
        <f>All!A94</f>
        <v>Astek Diagnostics</v>
      </c>
      <c r="B88" s="35" t="str">
        <f>All!B94</f>
        <v>$2m</v>
      </c>
      <c r="C88" s="28" t="str">
        <f>All!D94</f>
        <v>Teardown of Astek Diagnostics's $2m Seed deck</v>
      </c>
      <c r="D88" s="35" t="str">
        <f>All!C94</f>
        <v>Seed</v>
      </c>
      <c r="K88" s="3"/>
    </row>
    <row r="89">
      <c r="A89" s="28" t="str">
        <f>All!A31</f>
        <v>Vori</v>
      </c>
      <c r="B89" s="43" t="str">
        <f>All!B31</f>
        <v>$10m</v>
      </c>
      <c r="C89" s="28" t="str">
        <f>All!D31</f>
        <v>Teardown of Vori's $10m Series A deck</v>
      </c>
      <c r="D89" s="43" t="str">
        <f>All!C31</f>
        <v>Series A</v>
      </c>
      <c r="K89" s="3"/>
    </row>
    <row r="90" hidden="1">
      <c r="A90" s="28" t="str">
        <f>All!A96</f>
        <v>Protecto</v>
      </c>
      <c r="B90" s="35" t="str">
        <f>All!B96</f>
        <v>$4m</v>
      </c>
      <c r="C90" s="28" t="str">
        <f>All!D96</f>
        <v>Teardown of Protecto's $4m Seed deck</v>
      </c>
      <c r="D90" s="35" t="str">
        <f>All!C96</f>
        <v>Seed</v>
      </c>
      <c r="K90" s="3"/>
    </row>
    <row r="91" hidden="1">
      <c r="A91" s="28" t="str">
        <f>All!A97</f>
        <v>Plantee Innovations</v>
      </c>
      <c r="B91" s="35" t="str">
        <f>All!B97</f>
        <v>$1.4m</v>
      </c>
      <c r="C91" s="28" t="str">
        <f>All!D97</f>
        <v>Teardown of Plantee Innovations's $1.4m Seed deck</v>
      </c>
      <c r="D91" s="35" t="str">
        <f>All!C97</f>
        <v>Seed</v>
      </c>
      <c r="K91" s="3"/>
    </row>
    <row r="92" hidden="1">
      <c r="A92" s="28" t="str">
        <f>All!A98</f>
        <v>Queerie</v>
      </c>
      <c r="B92" s="35" t="str">
        <f>All!B98</f>
        <v>$300k</v>
      </c>
      <c r="C92" s="28" t="str">
        <f>All!D98</f>
        <v>Teardown of Queerie's $300k Pre-seed deck</v>
      </c>
      <c r="D92" s="35" t="str">
        <f>All!C98</f>
        <v>Pre-seed</v>
      </c>
      <c r="K92" s="3"/>
    </row>
    <row r="93" hidden="1">
      <c r="A93" s="28" t="str">
        <f>All!A99</f>
        <v>Xpanceo</v>
      </c>
      <c r="B93" s="35" t="str">
        <f>All!B99</f>
        <v>$40m</v>
      </c>
      <c r="C93" s="28" t="str">
        <f>All!D99</f>
        <v>Teardown of Xpanceo's $40m Seed deck</v>
      </c>
      <c r="D93" s="35" t="str">
        <f>All!C99</f>
        <v>Seed</v>
      </c>
      <c r="K93" s="3"/>
    </row>
    <row r="94" hidden="1">
      <c r="A94" s="28" t="str">
        <f>All!A100</f>
        <v>Geodesic.Life</v>
      </c>
      <c r="B94" s="35" t="str">
        <f>All!B100</f>
        <v>$500k</v>
      </c>
      <c r="C94" s="28" t="str">
        <f>All!D100</f>
        <v>Teardown of Geodesic.Life's $500k Pre-seed deck</v>
      </c>
      <c r="D94" s="35" t="str">
        <f>All!C100</f>
        <v>Pre-seed</v>
      </c>
      <c r="K94" s="3"/>
    </row>
    <row r="95" hidden="1">
      <c r="A95" s="28" t="str">
        <f>All!A101</f>
        <v>NOQX</v>
      </c>
      <c r="B95" s="35" t="str">
        <f>All!B101</f>
        <v>$200k</v>
      </c>
      <c r="C95" s="28" t="str">
        <f>All!D101</f>
        <v>Teardown of NOQX's $200k Pre-seed deck</v>
      </c>
      <c r="D95" s="35" t="str">
        <f>All!C101</f>
        <v>Pre-seed</v>
      </c>
      <c r="K95" s="3"/>
    </row>
    <row r="96">
      <c r="A96" s="28" t="str">
        <f>All!A91</f>
        <v>Xyte</v>
      </c>
      <c r="B96" s="43" t="str">
        <f>All!B91</f>
        <v>$30m</v>
      </c>
      <c r="C96" s="28" t="str">
        <f>All!D91</f>
        <v>Teardown of Xyte's $30m Series A deck</v>
      </c>
      <c r="D96" s="43" t="str">
        <f>All!C91</f>
        <v>Series A</v>
      </c>
      <c r="K96" s="3"/>
    </row>
    <row r="97" hidden="1">
      <c r="A97" s="28" t="str">
        <f>All!A103</f>
        <v>Goodcarbon</v>
      </c>
      <c r="B97" s="35" t="str">
        <f>All!B103</f>
        <v>$5.5m</v>
      </c>
      <c r="C97" s="28" t="str">
        <f>All!D103</f>
        <v>Teardown of Goodcarbon's $5.5m Seed deck</v>
      </c>
      <c r="D97" s="35" t="str">
        <f>All!C103</f>
        <v>Seed</v>
      </c>
      <c r="K97" s="3"/>
    </row>
    <row r="98" hidden="1">
      <c r="A98" s="28" t="str">
        <f>All!A104</f>
        <v>Terra One</v>
      </c>
      <c r="B98" s="35" t="str">
        <f>All!B104</f>
        <v>$7.5m</v>
      </c>
      <c r="C98" s="28" t="str">
        <f>All!D104</f>
        <v>Teardown of Terra One's $7.5m Seed deck</v>
      </c>
      <c r="D98" s="35" t="str">
        <f>All!C104</f>
        <v>Seed</v>
      </c>
      <c r="K98" s="3"/>
    </row>
    <row r="99" hidden="1">
      <c r="A99" s="28" t="str">
        <f>All!A105</f>
        <v>RAW Dating App</v>
      </c>
      <c r="B99" s="35" t="str">
        <f>All!B105</f>
        <v>$3m</v>
      </c>
      <c r="C99" s="28" t="str">
        <f>All!D105</f>
        <v>Teardown of RAW Dating App's $3m Angel deck</v>
      </c>
      <c r="D99" s="35" t="str">
        <f>All!C105</f>
        <v>Angel</v>
      </c>
      <c r="K99" s="3"/>
    </row>
    <row r="100" hidden="1">
      <c r="A100" s="28" t="str">
        <f>All!A106</f>
        <v>Kinnect</v>
      </c>
      <c r="B100" s="35" t="str">
        <f>All!B106</f>
        <v>$250k</v>
      </c>
      <c r="C100" s="28" t="str">
        <f>All!D106</f>
        <v>Teardown of Kinnect's $250k Angel deck</v>
      </c>
      <c r="D100" s="35" t="str">
        <f>All!C106</f>
        <v>Angel</v>
      </c>
      <c r="K100" s="3"/>
    </row>
    <row r="101" hidden="1">
      <c r="A101" s="28" t="str">
        <f>All!A107</f>
        <v>Feel Therapeutics</v>
      </c>
      <c r="B101" s="35" t="str">
        <f>All!B107</f>
        <v>$3.5m</v>
      </c>
      <c r="C101" s="28" t="str">
        <f>All!D107</f>
        <v>Teardown of Feel Therapeutics's $3.5m Seed deck</v>
      </c>
      <c r="D101" s="35" t="str">
        <f>All!C107</f>
        <v>Seed</v>
      </c>
      <c r="K101" s="3"/>
    </row>
    <row r="102" hidden="1">
      <c r="A102" s="28" t="str">
        <f>All!A108</f>
        <v>Megamod</v>
      </c>
      <c r="B102" s="35" t="str">
        <f>All!B108</f>
        <v>$1.9m</v>
      </c>
      <c r="C102" s="28" t="str">
        <f>All!D108</f>
        <v>Teardown of Megamod's $1.9m Seed deck</v>
      </c>
      <c r="D102" s="35" t="str">
        <f>All!C108</f>
        <v>Seed</v>
      </c>
      <c r="K102" s="3"/>
    </row>
    <row r="103" hidden="1">
      <c r="A103" s="35" t="str">
        <f>All!A109</f>
        <v/>
      </c>
      <c r="B103" s="35" t="str">
        <f>All!B109</f>
        <v/>
      </c>
      <c r="C103" s="35" t="str">
        <f>All!D109</f>
        <v/>
      </c>
      <c r="D103" s="35" t="str">
        <f>All!C109</f>
        <v/>
      </c>
      <c r="K103" s="3"/>
    </row>
    <row r="104" hidden="1">
      <c r="A104" s="35" t="str">
        <f>All!A110</f>
        <v/>
      </c>
      <c r="B104" s="35" t="str">
        <f>All!B110</f>
        <v/>
      </c>
      <c r="C104" s="35" t="str">
        <f>All!D110</f>
        <v/>
      </c>
      <c r="D104" s="35" t="str">
        <f>All!C110</f>
        <v/>
      </c>
      <c r="K104" s="3"/>
    </row>
    <row r="105" hidden="1">
      <c r="A105" s="35" t="str">
        <f>All!A111</f>
        <v/>
      </c>
      <c r="B105" s="35" t="str">
        <f>All!B111</f>
        <v/>
      </c>
      <c r="C105" s="35" t="str">
        <f>All!D111</f>
        <v/>
      </c>
      <c r="D105" s="35" t="str">
        <f>All!C111</f>
        <v/>
      </c>
      <c r="K105" s="3"/>
    </row>
    <row r="106" hidden="1">
      <c r="A106" s="35" t="str">
        <f>All!A112</f>
        <v/>
      </c>
      <c r="B106" s="35" t="str">
        <f>All!B112</f>
        <v/>
      </c>
      <c r="C106" s="35" t="str">
        <f>All!D112</f>
        <v/>
      </c>
      <c r="D106" s="35" t="str">
        <f>All!C112</f>
        <v/>
      </c>
      <c r="K106" s="3"/>
    </row>
    <row r="107" hidden="1">
      <c r="A107" s="35" t="str">
        <f>All!A113</f>
        <v/>
      </c>
      <c r="B107" s="35" t="str">
        <f>All!B113</f>
        <v/>
      </c>
      <c r="C107" s="35" t="str">
        <f>All!D113</f>
        <v/>
      </c>
      <c r="D107" s="35" t="str">
        <f>All!C113</f>
        <v/>
      </c>
      <c r="K107" s="3"/>
    </row>
    <row r="108" hidden="1">
      <c r="A108" s="35" t="str">
        <f>All!A114</f>
        <v/>
      </c>
      <c r="B108" s="35" t="str">
        <f>All!B114</f>
        <v/>
      </c>
      <c r="C108" s="35" t="str">
        <f>All!D114</f>
        <v/>
      </c>
      <c r="D108" s="35" t="str">
        <f>All!C114</f>
        <v/>
      </c>
      <c r="K108" s="3"/>
    </row>
    <row r="109" hidden="1">
      <c r="A109" s="35" t="str">
        <f>All!A115</f>
        <v/>
      </c>
      <c r="B109" s="35" t="str">
        <f>All!B115</f>
        <v/>
      </c>
      <c r="C109" s="35" t="str">
        <f>All!D115</f>
        <v/>
      </c>
      <c r="D109" s="35" t="str">
        <f>All!C115</f>
        <v/>
      </c>
      <c r="K109" s="3"/>
    </row>
    <row r="110" hidden="1">
      <c r="A110" s="35" t="str">
        <f>All!A116</f>
        <v/>
      </c>
      <c r="B110" s="35" t="str">
        <f>All!B116</f>
        <v/>
      </c>
      <c r="C110" s="35" t="str">
        <f>All!D116</f>
        <v/>
      </c>
      <c r="D110" s="35" t="str">
        <f>All!C116</f>
        <v/>
      </c>
      <c r="K110" s="3"/>
    </row>
    <row r="111" hidden="1">
      <c r="A111" s="35" t="str">
        <f>All!A117</f>
        <v/>
      </c>
      <c r="B111" s="35" t="str">
        <f>All!B117</f>
        <v/>
      </c>
      <c r="C111" s="35" t="str">
        <f>All!D117</f>
        <v/>
      </c>
      <c r="D111" s="35" t="str">
        <f>All!C117</f>
        <v/>
      </c>
      <c r="K111" s="3"/>
    </row>
    <row r="112" hidden="1">
      <c r="A112" s="35" t="str">
        <f>All!A118</f>
        <v/>
      </c>
      <c r="B112" s="35" t="str">
        <f>All!B118</f>
        <v/>
      </c>
      <c r="C112" s="35" t="str">
        <f>All!D118</f>
        <v/>
      </c>
      <c r="D112" s="35" t="str">
        <f>All!C118</f>
        <v/>
      </c>
      <c r="K112" s="3"/>
    </row>
    <row r="113" hidden="1">
      <c r="A113" s="35" t="str">
        <f>All!A119</f>
        <v/>
      </c>
      <c r="B113" s="35" t="str">
        <f>All!B119</f>
        <v/>
      </c>
      <c r="C113" s="35" t="str">
        <f>All!D119</f>
        <v/>
      </c>
      <c r="D113" s="35" t="str">
        <f>All!C119</f>
        <v/>
      </c>
      <c r="K113" s="3"/>
    </row>
    <row r="114" hidden="1">
      <c r="A114" s="35" t="str">
        <f>All!A120</f>
        <v/>
      </c>
      <c r="B114" s="35" t="str">
        <f>All!B120</f>
        <v/>
      </c>
      <c r="C114" s="35" t="str">
        <f>All!D120</f>
        <v/>
      </c>
      <c r="D114" s="35" t="str">
        <f>All!C120</f>
        <v/>
      </c>
      <c r="K114" s="3"/>
    </row>
    <row r="115" hidden="1">
      <c r="A115" s="35" t="str">
        <f>All!A121</f>
        <v/>
      </c>
      <c r="B115" s="35" t="str">
        <f>All!B121</f>
        <v/>
      </c>
      <c r="C115" s="35" t="str">
        <f>All!D121</f>
        <v/>
      </c>
      <c r="D115" s="35" t="str">
        <f>All!C121</f>
        <v/>
      </c>
      <c r="K115" s="3"/>
    </row>
    <row r="116" hidden="1">
      <c r="A116" s="35" t="str">
        <f>All!A122</f>
        <v/>
      </c>
      <c r="B116" s="35" t="str">
        <f>All!B122</f>
        <v/>
      </c>
      <c r="C116" s="35" t="str">
        <f>All!D122</f>
        <v/>
      </c>
      <c r="D116" s="35" t="str">
        <f>All!C122</f>
        <v/>
      </c>
      <c r="K116" s="3"/>
    </row>
    <row r="117" hidden="1">
      <c r="A117" s="35" t="str">
        <f>All!A123</f>
        <v/>
      </c>
      <c r="B117" s="35" t="str">
        <f>All!B123</f>
        <v/>
      </c>
      <c r="C117" s="35" t="str">
        <f>All!D123</f>
        <v/>
      </c>
      <c r="D117" s="35" t="str">
        <f>All!C123</f>
        <v/>
      </c>
      <c r="K117" s="3"/>
    </row>
    <row r="118" hidden="1">
      <c r="A118" s="35" t="str">
        <f>All!A124</f>
        <v/>
      </c>
      <c r="B118" s="35" t="str">
        <f>All!B124</f>
        <v/>
      </c>
      <c r="C118" s="35" t="str">
        <f>All!D124</f>
        <v/>
      </c>
      <c r="D118" s="35" t="str">
        <f>All!C124</f>
        <v/>
      </c>
      <c r="K118" s="3"/>
    </row>
    <row r="119" hidden="1">
      <c r="A119" s="35" t="str">
        <f>All!A125</f>
        <v/>
      </c>
      <c r="B119" s="35" t="str">
        <f>All!B125</f>
        <v/>
      </c>
      <c r="C119" s="35" t="str">
        <f>All!D125</f>
        <v/>
      </c>
      <c r="D119" s="35" t="str">
        <f>All!C125</f>
        <v/>
      </c>
      <c r="K119" s="3"/>
    </row>
    <row r="120" hidden="1">
      <c r="A120" s="35" t="str">
        <f>All!A126</f>
        <v/>
      </c>
      <c r="B120" s="35" t="str">
        <f>All!B126</f>
        <v/>
      </c>
      <c r="C120" s="35" t="str">
        <f>All!D126</f>
        <v/>
      </c>
      <c r="D120" s="35" t="str">
        <f>All!C126</f>
        <v/>
      </c>
      <c r="K120" s="3"/>
    </row>
    <row r="121" hidden="1">
      <c r="A121" s="35" t="str">
        <f>All!A127</f>
        <v/>
      </c>
      <c r="B121" s="35" t="str">
        <f>All!B127</f>
        <v/>
      </c>
      <c r="C121" s="35" t="str">
        <f>All!D127</f>
        <v/>
      </c>
      <c r="D121" s="35" t="str">
        <f>All!C127</f>
        <v/>
      </c>
      <c r="K121" s="3"/>
    </row>
    <row r="122" hidden="1">
      <c r="A122" s="35" t="str">
        <f>All!A128</f>
        <v/>
      </c>
      <c r="B122" s="35" t="str">
        <f>All!B128</f>
        <v/>
      </c>
      <c r="C122" s="35" t="str">
        <f>All!D128</f>
        <v/>
      </c>
      <c r="D122" s="35" t="str">
        <f>All!C128</f>
        <v/>
      </c>
      <c r="K122" s="3"/>
    </row>
    <row r="123" hidden="1">
      <c r="A123" s="35" t="str">
        <f>All!A129</f>
        <v/>
      </c>
      <c r="B123" s="35" t="str">
        <f>All!B129</f>
        <v/>
      </c>
      <c r="C123" s="35" t="str">
        <f>All!D129</f>
        <v/>
      </c>
      <c r="D123" s="35" t="str">
        <f>All!C129</f>
        <v/>
      </c>
      <c r="K123" s="3"/>
    </row>
    <row r="124" hidden="1">
      <c r="A124" s="35" t="str">
        <f>All!A130</f>
        <v/>
      </c>
      <c r="B124" s="35" t="str">
        <f>All!B130</f>
        <v/>
      </c>
      <c r="C124" s="35" t="str">
        <f>All!D130</f>
        <v/>
      </c>
      <c r="D124" s="35" t="str">
        <f>All!C130</f>
        <v/>
      </c>
      <c r="K124" s="3"/>
    </row>
    <row r="125" hidden="1">
      <c r="A125" s="35" t="str">
        <f>All!A131</f>
        <v/>
      </c>
      <c r="B125" s="35" t="str">
        <f>All!B131</f>
        <v/>
      </c>
      <c r="C125" s="35" t="str">
        <f>All!D131</f>
        <v/>
      </c>
      <c r="D125" s="35" t="str">
        <f>All!C131</f>
        <v/>
      </c>
      <c r="K125" s="3"/>
    </row>
    <row r="126" hidden="1">
      <c r="A126" s="35" t="str">
        <f>All!A132</f>
        <v/>
      </c>
      <c r="B126" s="35" t="str">
        <f>All!B132</f>
        <v/>
      </c>
      <c r="C126" s="35" t="str">
        <f>All!D132</f>
        <v/>
      </c>
      <c r="D126" s="35" t="str">
        <f>All!C132</f>
        <v/>
      </c>
      <c r="K126" s="3"/>
    </row>
    <row r="127" hidden="1">
      <c r="A127" s="35" t="str">
        <f>All!A133</f>
        <v/>
      </c>
      <c r="B127" s="35" t="str">
        <f>All!B133</f>
        <v/>
      </c>
      <c r="C127" s="35" t="str">
        <f>All!D133</f>
        <v/>
      </c>
      <c r="D127" s="35" t="str">
        <f>All!C133</f>
        <v/>
      </c>
      <c r="K127" s="3"/>
    </row>
    <row r="128" hidden="1">
      <c r="A128" s="35" t="str">
        <f>All!A134</f>
        <v/>
      </c>
      <c r="B128" s="35" t="str">
        <f>All!B134</f>
        <v/>
      </c>
      <c r="C128" s="35" t="str">
        <f>All!D134</f>
        <v/>
      </c>
      <c r="D128" s="35" t="str">
        <f>All!C134</f>
        <v/>
      </c>
      <c r="K128" s="3"/>
    </row>
    <row r="129" hidden="1">
      <c r="A129" s="35" t="str">
        <f>All!A135</f>
        <v/>
      </c>
      <c r="B129" s="35" t="str">
        <f>All!B135</f>
        <v/>
      </c>
      <c r="C129" s="35" t="str">
        <f>All!D135</f>
        <v/>
      </c>
      <c r="D129" s="35" t="str">
        <f>All!C135</f>
        <v/>
      </c>
      <c r="K129" s="3"/>
    </row>
    <row r="130" hidden="1">
      <c r="A130" s="35" t="str">
        <f>All!A136</f>
        <v/>
      </c>
      <c r="B130" s="35" t="str">
        <f>All!B136</f>
        <v/>
      </c>
      <c r="C130" s="35" t="str">
        <f>All!D136</f>
        <v/>
      </c>
      <c r="D130" s="35" t="str">
        <f>All!C136</f>
        <v/>
      </c>
      <c r="K130" s="3"/>
    </row>
    <row r="131" hidden="1">
      <c r="A131" s="35" t="str">
        <f>All!A137</f>
        <v/>
      </c>
      <c r="B131" s="35" t="str">
        <f>All!B137</f>
        <v/>
      </c>
      <c r="C131" s="35" t="str">
        <f>All!D137</f>
        <v/>
      </c>
      <c r="D131" s="35" t="str">
        <f>All!C137</f>
        <v/>
      </c>
      <c r="K131" s="3"/>
    </row>
    <row r="132" hidden="1">
      <c r="A132" s="35" t="str">
        <f>All!A138</f>
        <v/>
      </c>
      <c r="B132" s="35" t="str">
        <f>All!B138</f>
        <v/>
      </c>
      <c r="C132" s="35" t="str">
        <f>All!D138</f>
        <v/>
      </c>
      <c r="D132" s="35" t="str">
        <f>All!C138</f>
        <v/>
      </c>
      <c r="K132" s="3"/>
    </row>
    <row r="133" hidden="1">
      <c r="A133" s="35" t="str">
        <f>All!A139</f>
        <v/>
      </c>
      <c r="B133" s="35" t="str">
        <f>All!B139</f>
        <v/>
      </c>
      <c r="C133" s="35" t="str">
        <f>All!D139</f>
        <v/>
      </c>
      <c r="D133" s="35" t="str">
        <f>All!C139</f>
        <v/>
      </c>
      <c r="K133" s="3"/>
    </row>
    <row r="134" hidden="1">
      <c r="A134" s="35" t="str">
        <f>All!A140</f>
        <v/>
      </c>
      <c r="B134" s="35" t="str">
        <f>All!B140</f>
        <v/>
      </c>
      <c r="C134" s="35" t="str">
        <f>All!D140</f>
        <v/>
      </c>
      <c r="D134" s="35" t="str">
        <f>All!C140</f>
        <v/>
      </c>
      <c r="K134" s="3"/>
    </row>
    <row r="135" hidden="1">
      <c r="A135" s="35" t="str">
        <f>All!A141</f>
        <v/>
      </c>
      <c r="B135" s="35" t="str">
        <f>All!B141</f>
        <v/>
      </c>
      <c r="C135" s="35" t="str">
        <f>All!D141</f>
        <v/>
      </c>
      <c r="D135" s="35" t="str">
        <f>All!C141</f>
        <v/>
      </c>
      <c r="K135" s="3"/>
    </row>
    <row r="136" hidden="1">
      <c r="A136" s="35" t="str">
        <f>All!A142</f>
        <v/>
      </c>
      <c r="B136" s="35" t="str">
        <f>All!B142</f>
        <v/>
      </c>
      <c r="C136" s="35" t="str">
        <f>All!D142</f>
        <v/>
      </c>
      <c r="D136" s="35" t="str">
        <f>All!C142</f>
        <v/>
      </c>
      <c r="K136" s="3"/>
    </row>
    <row r="137" hidden="1">
      <c r="A137" s="35" t="str">
        <f>All!A143</f>
        <v/>
      </c>
      <c r="B137" s="35" t="str">
        <f>All!B143</f>
        <v/>
      </c>
      <c r="C137" s="35" t="str">
        <f>All!D143</f>
        <v/>
      </c>
      <c r="D137" s="35" t="str">
        <f>All!C143</f>
        <v/>
      </c>
      <c r="K137" s="3"/>
    </row>
    <row r="138" hidden="1">
      <c r="A138" s="35" t="str">
        <f>All!A144</f>
        <v/>
      </c>
      <c r="B138" s="35" t="str">
        <f>All!B144</f>
        <v/>
      </c>
      <c r="C138" s="35" t="str">
        <f>All!D144</f>
        <v/>
      </c>
      <c r="D138" s="35" t="str">
        <f>All!C144</f>
        <v/>
      </c>
      <c r="K138" s="3"/>
    </row>
    <row r="139" hidden="1">
      <c r="A139" s="35" t="str">
        <f>All!A145</f>
        <v/>
      </c>
      <c r="B139" s="35" t="str">
        <f>All!B145</f>
        <v/>
      </c>
      <c r="C139" s="35" t="str">
        <f>All!D145</f>
        <v/>
      </c>
      <c r="D139" s="35" t="str">
        <f>All!C145</f>
        <v/>
      </c>
      <c r="K139" s="3"/>
    </row>
    <row r="140" hidden="1">
      <c r="A140" s="35" t="str">
        <f>All!A146</f>
        <v/>
      </c>
      <c r="B140" s="35" t="str">
        <f>All!B146</f>
        <v/>
      </c>
      <c r="C140" s="35" t="str">
        <f>All!D146</f>
        <v/>
      </c>
      <c r="D140" s="35" t="str">
        <f>All!C146</f>
        <v/>
      </c>
      <c r="K140" s="3"/>
    </row>
    <row r="141" hidden="1">
      <c r="A141" s="35" t="str">
        <f>All!A147</f>
        <v/>
      </c>
      <c r="B141" s="35" t="str">
        <f>All!B147</f>
        <v/>
      </c>
      <c r="C141" s="35" t="str">
        <f>All!D147</f>
        <v/>
      </c>
      <c r="D141" s="35" t="str">
        <f>All!C147</f>
        <v/>
      </c>
      <c r="K141" s="3"/>
    </row>
    <row r="142" hidden="1">
      <c r="A142" s="35" t="str">
        <f>All!A148</f>
        <v/>
      </c>
      <c r="B142" s="35" t="str">
        <f>All!B148</f>
        <v/>
      </c>
      <c r="C142" s="35" t="str">
        <f>All!D148</f>
        <v/>
      </c>
      <c r="D142" s="35" t="str">
        <f>All!C148</f>
        <v/>
      </c>
      <c r="K142" s="3"/>
    </row>
    <row r="143" hidden="1">
      <c r="A143" s="35" t="str">
        <f>All!A149</f>
        <v/>
      </c>
      <c r="B143" s="35" t="str">
        <f>All!B149</f>
        <v/>
      </c>
      <c r="C143" s="35" t="str">
        <f>All!D149</f>
        <v/>
      </c>
      <c r="D143" s="35" t="str">
        <f>All!C149</f>
        <v/>
      </c>
      <c r="K143" s="3"/>
    </row>
    <row r="144" hidden="1">
      <c r="A144" s="35" t="str">
        <f>All!A150</f>
        <v/>
      </c>
      <c r="B144" s="35" t="str">
        <f>All!B150</f>
        <v/>
      </c>
      <c r="C144" s="35" t="str">
        <f>All!D150</f>
        <v/>
      </c>
      <c r="D144" s="35" t="str">
        <f>All!C150</f>
        <v/>
      </c>
      <c r="K144" s="3"/>
    </row>
    <row r="145" hidden="1">
      <c r="A145" s="35" t="str">
        <f>All!A151</f>
        <v/>
      </c>
      <c r="B145" s="35" t="str">
        <f>All!B151</f>
        <v/>
      </c>
      <c r="C145" s="35" t="str">
        <f>All!D151</f>
        <v/>
      </c>
      <c r="D145" s="35" t="str">
        <f>All!C151</f>
        <v/>
      </c>
      <c r="K145" s="3"/>
    </row>
    <row r="146" hidden="1">
      <c r="A146" s="35" t="str">
        <f>All!A152</f>
        <v/>
      </c>
      <c r="B146" s="35" t="str">
        <f>All!B152</f>
        <v/>
      </c>
      <c r="C146" s="35" t="str">
        <f>All!D152</f>
        <v/>
      </c>
      <c r="D146" s="35" t="str">
        <f>All!C152</f>
        <v/>
      </c>
      <c r="K146" s="3"/>
    </row>
    <row r="147" hidden="1">
      <c r="A147" s="35" t="str">
        <f>All!A153</f>
        <v/>
      </c>
      <c r="B147" s="35" t="str">
        <f>All!B153</f>
        <v/>
      </c>
      <c r="C147" s="35" t="str">
        <f>All!D153</f>
        <v/>
      </c>
      <c r="D147" s="35" t="str">
        <f>All!C153</f>
        <v/>
      </c>
      <c r="K147" s="3"/>
    </row>
    <row r="148" hidden="1">
      <c r="A148" s="35" t="str">
        <f>All!A154</f>
        <v/>
      </c>
      <c r="B148" s="35" t="str">
        <f>All!B154</f>
        <v/>
      </c>
      <c r="C148" s="35" t="str">
        <f>All!D154</f>
        <v/>
      </c>
      <c r="D148" s="35" t="str">
        <f>All!C154</f>
        <v/>
      </c>
      <c r="K148" s="3"/>
    </row>
    <row r="149" hidden="1">
      <c r="A149" s="35" t="str">
        <f>All!A155</f>
        <v/>
      </c>
      <c r="B149" s="35" t="str">
        <f>All!B155</f>
        <v/>
      </c>
      <c r="C149" s="35" t="str">
        <f>All!D155</f>
        <v/>
      </c>
      <c r="D149" s="35" t="str">
        <f>All!C155</f>
        <v/>
      </c>
      <c r="K149" s="3"/>
    </row>
    <row r="150" hidden="1">
      <c r="A150" s="35" t="str">
        <f>All!A156</f>
        <v/>
      </c>
      <c r="B150" s="35" t="str">
        <f>All!B156</f>
        <v/>
      </c>
      <c r="C150" s="35" t="str">
        <f>All!D156</f>
        <v/>
      </c>
      <c r="D150" s="35" t="str">
        <f>All!C156</f>
        <v/>
      </c>
      <c r="K150" s="3"/>
    </row>
    <row r="151" hidden="1">
      <c r="A151" s="35" t="str">
        <f>All!A157</f>
        <v/>
      </c>
      <c r="B151" s="35" t="str">
        <f>All!B157</f>
        <v/>
      </c>
      <c r="C151" s="35" t="str">
        <f>All!D157</f>
        <v/>
      </c>
      <c r="D151" s="35" t="str">
        <f>All!C157</f>
        <v/>
      </c>
      <c r="K151" s="3"/>
    </row>
    <row r="152" hidden="1">
      <c r="A152" s="35" t="str">
        <f>All!A158</f>
        <v/>
      </c>
      <c r="B152" s="35" t="str">
        <f>All!B158</f>
        <v/>
      </c>
      <c r="C152" s="35" t="str">
        <f>All!D158</f>
        <v/>
      </c>
      <c r="D152" s="35" t="str">
        <f>All!C158</f>
        <v/>
      </c>
      <c r="K152" s="3"/>
    </row>
    <row r="153" hidden="1">
      <c r="A153" s="35" t="str">
        <f>All!A159</f>
        <v/>
      </c>
      <c r="B153" s="35" t="str">
        <f>All!B159</f>
        <v/>
      </c>
      <c r="C153" s="35" t="str">
        <f>All!D159</f>
        <v/>
      </c>
      <c r="D153" s="35" t="str">
        <f>All!C159</f>
        <v/>
      </c>
      <c r="K153" s="3"/>
    </row>
    <row r="154" hidden="1">
      <c r="A154" s="35" t="str">
        <f>All!A160</f>
        <v/>
      </c>
      <c r="B154" s="35" t="str">
        <f>All!B160</f>
        <v/>
      </c>
      <c r="C154" s="35" t="str">
        <f>All!D160</f>
        <v/>
      </c>
      <c r="D154" s="35" t="str">
        <f>All!C160</f>
        <v/>
      </c>
      <c r="K154" s="3"/>
    </row>
    <row r="155" hidden="1">
      <c r="A155" s="35" t="str">
        <f>All!A161</f>
        <v/>
      </c>
      <c r="B155" s="35" t="str">
        <f>All!B161</f>
        <v/>
      </c>
      <c r="C155" s="35" t="str">
        <f>All!D161</f>
        <v/>
      </c>
      <c r="D155" s="35" t="str">
        <f>All!C161</f>
        <v/>
      </c>
      <c r="K155" s="3"/>
    </row>
    <row r="156" hidden="1">
      <c r="A156" s="35" t="str">
        <f>All!A162</f>
        <v/>
      </c>
      <c r="B156" s="35" t="str">
        <f>All!B162</f>
        <v/>
      </c>
      <c r="C156" s="35" t="str">
        <f>All!D162</f>
        <v/>
      </c>
      <c r="D156" s="35" t="str">
        <f>All!C162</f>
        <v/>
      </c>
      <c r="K156" s="3"/>
    </row>
    <row r="157" hidden="1">
      <c r="A157" s="35" t="str">
        <f>All!A163</f>
        <v/>
      </c>
      <c r="B157" s="35" t="str">
        <f>All!B163</f>
        <v/>
      </c>
      <c r="C157" s="35" t="str">
        <f>All!D163</f>
        <v/>
      </c>
      <c r="D157" s="35" t="str">
        <f>All!C163</f>
        <v/>
      </c>
      <c r="K157" s="3"/>
    </row>
    <row r="158" hidden="1">
      <c r="A158" s="35" t="str">
        <f>All!A164</f>
        <v/>
      </c>
      <c r="B158" s="35" t="str">
        <f>All!B164</f>
        <v/>
      </c>
      <c r="C158" s="35" t="str">
        <f>All!D164</f>
        <v/>
      </c>
      <c r="D158" s="35" t="str">
        <f>All!C164</f>
        <v/>
      </c>
      <c r="K158" s="3"/>
    </row>
    <row r="159" hidden="1">
      <c r="A159" s="35" t="str">
        <f>All!A165</f>
        <v/>
      </c>
      <c r="B159" s="35" t="str">
        <f>All!B165</f>
        <v/>
      </c>
      <c r="C159" s="35" t="str">
        <f>All!D165</f>
        <v/>
      </c>
      <c r="D159" s="35" t="str">
        <f>All!C165</f>
        <v/>
      </c>
      <c r="K159" s="3"/>
    </row>
    <row r="160" hidden="1">
      <c r="A160" s="35" t="str">
        <f>All!A166</f>
        <v/>
      </c>
      <c r="B160" s="35" t="str">
        <f>All!B166</f>
        <v/>
      </c>
      <c r="C160" s="35" t="str">
        <f>All!D166</f>
        <v/>
      </c>
      <c r="D160" s="35" t="str">
        <f>All!C166</f>
        <v/>
      </c>
      <c r="K160" s="3"/>
    </row>
    <row r="161" hidden="1">
      <c r="A161" s="35" t="str">
        <f>All!A167</f>
        <v/>
      </c>
      <c r="B161" s="35" t="str">
        <f>All!B167</f>
        <v/>
      </c>
      <c r="C161" s="35" t="str">
        <f>All!D167</f>
        <v/>
      </c>
      <c r="D161" s="35" t="str">
        <f>All!C167</f>
        <v/>
      </c>
      <c r="K161" s="3"/>
    </row>
    <row r="162" hidden="1">
      <c r="A162" s="35" t="str">
        <f>All!A168</f>
        <v/>
      </c>
      <c r="B162" s="35" t="str">
        <f>All!B168</f>
        <v/>
      </c>
      <c r="C162" s="35" t="str">
        <f>All!D168</f>
        <v/>
      </c>
      <c r="D162" s="35" t="str">
        <f>All!C168</f>
        <v/>
      </c>
      <c r="K162" s="3"/>
    </row>
    <row r="163" hidden="1">
      <c r="A163" s="35" t="str">
        <f>All!A169</f>
        <v/>
      </c>
      <c r="B163" s="35" t="str">
        <f>All!B169</f>
        <v/>
      </c>
      <c r="C163" s="35" t="str">
        <f>All!D169</f>
        <v/>
      </c>
      <c r="D163" s="35" t="str">
        <f>All!C169</f>
        <v/>
      </c>
      <c r="K163" s="3"/>
    </row>
    <row r="164" hidden="1">
      <c r="A164" s="35" t="str">
        <f>All!A170</f>
        <v/>
      </c>
      <c r="B164" s="35" t="str">
        <f>All!B170</f>
        <v/>
      </c>
      <c r="C164" s="35" t="str">
        <f>All!D170</f>
        <v/>
      </c>
      <c r="D164" s="35" t="str">
        <f>All!C170</f>
        <v/>
      </c>
      <c r="K164" s="3"/>
    </row>
    <row r="165" hidden="1">
      <c r="A165" s="35" t="str">
        <f>All!A171</f>
        <v/>
      </c>
      <c r="B165" s="35" t="str">
        <f>All!B171</f>
        <v/>
      </c>
      <c r="C165" s="35" t="str">
        <f>All!D171</f>
        <v/>
      </c>
      <c r="D165" s="35" t="str">
        <f>All!C171</f>
        <v/>
      </c>
      <c r="K165" s="3"/>
    </row>
    <row r="166" hidden="1">
      <c r="A166" s="35" t="str">
        <f>All!A172</f>
        <v/>
      </c>
      <c r="B166" s="35" t="str">
        <f>All!B172</f>
        <v/>
      </c>
      <c r="C166" s="35" t="str">
        <f>All!D172</f>
        <v/>
      </c>
      <c r="D166" s="35" t="str">
        <f>All!C172</f>
        <v/>
      </c>
      <c r="K166" s="3"/>
    </row>
    <row r="167" hidden="1">
      <c r="A167" s="35" t="str">
        <f>All!A173</f>
        <v/>
      </c>
      <c r="B167" s="35" t="str">
        <f>All!B173</f>
        <v/>
      </c>
      <c r="C167" s="35" t="str">
        <f>All!D173</f>
        <v/>
      </c>
      <c r="D167" s="35" t="str">
        <f>All!C173</f>
        <v/>
      </c>
      <c r="K167" s="3"/>
    </row>
    <row r="168" hidden="1">
      <c r="A168" s="35" t="str">
        <f>All!A174</f>
        <v/>
      </c>
      <c r="B168" s="35" t="str">
        <f>All!B174</f>
        <v/>
      </c>
      <c r="C168" s="35" t="str">
        <f>All!D174</f>
        <v/>
      </c>
      <c r="D168" s="35" t="str">
        <f>All!C174</f>
        <v/>
      </c>
      <c r="K168" s="3"/>
    </row>
    <row r="169" hidden="1">
      <c r="A169" s="35" t="str">
        <f>All!A175</f>
        <v/>
      </c>
      <c r="B169" s="35" t="str">
        <f>All!B175</f>
        <v/>
      </c>
      <c r="C169" s="35" t="str">
        <f>All!D175</f>
        <v/>
      </c>
      <c r="D169" s="35" t="str">
        <f>All!C175</f>
        <v/>
      </c>
      <c r="K169" s="3"/>
    </row>
    <row r="170" hidden="1">
      <c r="A170" s="35" t="str">
        <f>All!A176</f>
        <v/>
      </c>
      <c r="B170" s="35" t="str">
        <f>All!B176</f>
        <v/>
      </c>
      <c r="C170" s="35" t="str">
        <f>All!D176</f>
        <v/>
      </c>
      <c r="D170" s="35" t="str">
        <f>All!C176</f>
        <v/>
      </c>
      <c r="K170" s="3"/>
    </row>
    <row r="171" hidden="1">
      <c r="A171" s="35" t="str">
        <f>All!A177</f>
        <v/>
      </c>
      <c r="B171" s="35" t="str">
        <f>All!B177</f>
        <v/>
      </c>
      <c r="C171" s="35" t="str">
        <f>All!D177</f>
        <v/>
      </c>
      <c r="D171" s="35" t="str">
        <f>All!C177</f>
        <v/>
      </c>
      <c r="K171" s="3"/>
    </row>
    <row r="172" hidden="1">
      <c r="A172" s="35" t="str">
        <f>All!A178</f>
        <v/>
      </c>
      <c r="B172" s="35" t="str">
        <f>All!B178</f>
        <v/>
      </c>
      <c r="C172" s="35" t="str">
        <f>All!D178</f>
        <v/>
      </c>
      <c r="D172" s="35" t="str">
        <f>All!C178</f>
        <v/>
      </c>
      <c r="K172" s="3"/>
    </row>
    <row r="173" hidden="1">
      <c r="A173" s="35" t="str">
        <f>All!A179</f>
        <v/>
      </c>
      <c r="B173" s="35" t="str">
        <f>All!B179</f>
        <v/>
      </c>
      <c r="C173" s="35" t="str">
        <f>All!D179</f>
        <v/>
      </c>
      <c r="D173" s="35" t="str">
        <f>All!C179</f>
        <v/>
      </c>
      <c r="K173" s="3"/>
    </row>
    <row r="174" hidden="1">
      <c r="A174" s="35" t="str">
        <f>All!A180</f>
        <v/>
      </c>
      <c r="B174" s="35" t="str">
        <f>All!B180</f>
        <v/>
      </c>
      <c r="C174" s="35" t="str">
        <f>All!D180</f>
        <v/>
      </c>
      <c r="D174" s="35" t="str">
        <f>All!C180</f>
        <v/>
      </c>
      <c r="K174" s="3"/>
    </row>
    <row r="175" hidden="1">
      <c r="A175" s="35" t="str">
        <f>All!A181</f>
        <v/>
      </c>
      <c r="B175" s="35" t="str">
        <f>All!B181</f>
        <v/>
      </c>
      <c r="C175" s="35" t="str">
        <f>All!D181</f>
        <v/>
      </c>
      <c r="D175" s="35" t="str">
        <f>All!C181</f>
        <v/>
      </c>
      <c r="K175" s="3"/>
    </row>
    <row r="176" hidden="1">
      <c r="A176" s="35" t="str">
        <f>All!A182</f>
        <v/>
      </c>
      <c r="B176" s="35" t="str">
        <f>All!B182</f>
        <v/>
      </c>
      <c r="C176" s="35" t="str">
        <f>All!D182</f>
        <v/>
      </c>
      <c r="D176" s="35" t="str">
        <f>All!C182</f>
        <v/>
      </c>
      <c r="K176" s="3"/>
    </row>
    <row r="177" hidden="1">
      <c r="A177" s="35" t="str">
        <f>All!A183</f>
        <v/>
      </c>
      <c r="B177" s="35" t="str">
        <f>All!B183</f>
        <v/>
      </c>
      <c r="C177" s="35" t="str">
        <f>All!D183</f>
        <v/>
      </c>
      <c r="D177" s="35" t="str">
        <f>All!C183</f>
        <v/>
      </c>
      <c r="K177" s="3"/>
    </row>
    <row r="178" hidden="1">
      <c r="A178" s="35" t="str">
        <f>All!A184</f>
        <v/>
      </c>
      <c r="B178" s="35" t="str">
        <f>All!B184</f>
        <v/>
      </c>
      <c r="C178" s="35" t="str">
        <f>All!D184</f>
        <v/>
      </c>
      <c r="D178" s="35" t="str">
        <f>All!C184</f>
        <v/>
      </c>
      <c r="K178" s="3"/>
    </row>
    <row r="179" hidden="1">
      <c r="A179" s="35" t="str">
        <f>All!A185</f>
        <v/>
      </c>
      <c r="B179" s="35" t="str">
        <f>All!B185</f>
        <v/>
      </c>
      <c r="C179" s="35" t="str">
        <f>All!D185</f>
        <v/>
      </c>
      <c r="D179" s="35" t="str">
        <f>All!C185</f>
        <v/>
      </c>
      <c r="K179" s="3"/>
    </row>
    <row r="180" hidden="1">
      <c r="A180" s="35" t="str">
        <f>All!A186</f>
        <v/>
      </c>
      <c r="B180" s="35" t="str">
        <f>All!B186</f>
        <v/>
      </c>
      <c r="C180" s="35" t="str">
        <f>All!D186</f>
        <v/>
      </c>
      <c r="D180" s="35" t="str">
        <f>All!C186</f>
        <v/>
      </c>
      <c r="K180" s="3"/>
    </row>
    <row r="181" hidden="1">
      <c r="A181" s="35" t="str">
        <f>All!A187</f>
        <v/>
      </c>
      <c r="B181" s="35" t="str">
        <f>All!B187</f>
        <v/>
      </c>
      <c r="C181" s="35" t="str">
        <f>All!D187</f>
        <v/>
      </c>
      <c r="D181" s="35" t="str">
        <f>All!C187</f>
        <v/>
      </c>
      <c r="K181" s="3"/>
    </row>
    <row r="182" hidden="1">
      <c r="A182" s="35" t="str">
        <f>All!A188</f>
        <v/>
      </c>
      <c r="B182" s="35" t="str">
        <f>All!B188</f>
        <v/>
      </c>
      <c r="C182" s="35" t="str">
        <f>All!D188</f>
        <v/>
      </c>
      <c r="D182" s="35" t="str">
        <f>All!C188</f>
        <v/>
      </c>
      <c r="K182" s="3"/>
    </row>
    <row r="183" hidden="1">
      <c r="A183" s="35" t="str">
        <f>All!A189</f>
        <v/>
      </c>
      <c r="B183" s="35" t="str">
        <f>All!B189</f>
        <v/>
      </c>
      <c r="C183" s="35" t="str">
        <f>All!D189</f>
        <v/>
      </c>
      <c r="D183" s="35" t="str">
        <f>All!C189</f>
        <v/>
      </c>
      <c r="K183" s="3"/>
    </row>
    <row r="184" hidden="1">
      <c r="A184" s="35" t="str">
        <f>All!A190</f>
        <v/>
      </c>
      <c r="B184" s="35" t="str">
        <f>All!B190</f>
        <v/>
      </c>
      <c r="C184" s="35" t="str">
        <f>All!D190</f>
        <v/>
      </c>
      <c r="D184" s="35" t="str">
        <f>All!C190</f>
        <v/>
      </c>
      <c r="K184" s="3"/>
    </row>
    <row r="185" hidden="1">
      <c r="A185" s="35" t="str">
        <f>All!A191</f>
        <v/>
      </c>
      <c r="B185" s="35" t="str">
        <f>All!B191</f>
        <v/>
      </c>
      <c r="C185" s="35" t="str">
        <f>All!D191</f>
        <v/>
      </c>
      <c r="D185" s="35" t="str">
        <f>All!C191</f>
        <v/>
      </c>
      <c r="K185" s="3"/>
    </row>
    <row r="186" hidden="1">
      <c r="A186" s="35" t="str">
        <f>All!A192</f>
        <v/>
      </c>
      <c r="B186" s="35" t="str">
        <f>All!B192</f>
        <v/>
      </c>
      <c r="C186" s="35" t="str">
        <f>All!D192</f>
        <v/>
      </c>
      <c r="D186" s="35" t="str">
        <f>All!C192</f>
        <v/>
      </c>
      <c r="K186" s="3"/>
    </row>
    <row r="187" hidden="1">
      <c r="A187" s="35" t="str">
        <f>All!A193</f>
        <v/>
      </c>
      <c r="B187" s="35" t="str">
        <f>All!B193</f>
        <v/>
      </c>
      <c r="C187" s="35" t="str">
        <f>All!D193</f>
        <v/>
      </c>
      <c r="D187" s="35" t="str">
        <f>All!C193</f>
        <v/>
      </c>
      <c r="K187" s="3"/>
    </row>
    <row r="188" hidden="1">
      <c r="A188" s="35" t="str">
        <f>All!A194</f>
        <v/>
      </c>
      <c r="B188" s="35" t="str">
        <f>All!B194</f>
        <v/>
      </c>
      <c r="C188" s="35" t="str">
        <f>All!D194</f>
        <v/>
      </c>
      <c r="D188" s="35" t="str">
        <f>All!C194</f>
        <v/>
      </c>
      <c r="K188" s="3"/>
    </row>
    <row r="189" hidden="1">
      <c r="A189" s="35" t="str">
        <f>All!A195</f>
        <v/>
      </c>
      <c r="B189" s="35" t="str">
        <f>All!B195</f>
        <v/>
      </c>
      <c r="C189" s="35" t="str">
        <f>All!D195</f>
        <v/>
      </c>
      <c r="D189" s="35" t="str">
        <f>All!C195</f>
        <v/>
      </c>
      <c r="K189" s="3"/>
    </row>
    <row r="190" hidden="1">
      <c r="A190" s="35" t="str">
        <f>All!A196</f>
        <v/>
      </c>
      <c r="B190" s="35" t="str">
        <f>All!B196</f>
        <v/>
      </c>
      <c r="C190" s="35" t="str">
        <f>All!D196</f>
        <v/>
      </c>
      <c r="D190" s="35" t="str">
        <f>All!C196</f>
        <v/>
      </c>
      <c r="K190" s="3"/>
    </row>
    <row r="191" hidden="1">
      <c r="A191" s="35" t="str">
        <f>All!A197</f>
        <v/>
      </c>
      <c r="B191" s="35" t="str">
        <f>All!B197</f>
        <v/>
      </c>
      <c r="C191" s="35" t="str">
        <f>All!D197</f>
        <v/>
      </c>
      <c r="D191" s="35" t="str">
        <f>All!C197</f>
        <v/>
      </c>
      <c r="K191" s="3"/>
    </row>
    <row r="192" hidden="1">
      <c r="A192" s="35" t="str">
        <f>All!A198</f>
        <v/>
      </c>
      <c r="B192" s="35" t="str">
        <f>All!B198</f>
        <v/>
      </c>
      <c r="C192" s="35" t="str">
        <f>All!D198</f>
        <v/>
      </c>
      <c r="D192" s="35" t="str">
        <f>All!C198</f>
        <v/>
      </c>
      <c r="K192" s="3"/>
    </row>
    <row r="193" hidden="1">
      <c r="A193" s="35" t="str">
        <f>All!A199</f>
        <v/>
      </c>
      <c r="B193" s="35" t="str">
        <f>All!B199</f>
        <v/>
      </c>
      <c r="C193" s="35" t="str">
        <f>All!D199</f>
        <v/>
      </c>
      <c r="D193" s="35" t="str">
        <f>All!C199</f>
        <v/>
      </c>
      <c r="K193" s="3"/>
    </row>
    <row r="194" hidden="1">
      <c r="A194" s="35" t="str">
        <f>All!A200</f>
        <v/>
      </c>
      <c r="B194" s="35" t="str">
        <f>All!B200</f>
        <v/>
      </c>
      <c r="C194" s="35" t="str">
        <f>All!D200</f>
        <v/>
      </c>
      <c r="D194" s="35" t="str">
        <f>All!C200</f>
        <v/>
      </c>
      <c r="K194" s="3"/>
    </row>
    <row r="195" hidden="1">
      <c r="A195" s="35" t="str">
        <f>All!A201</f>
        <v/>
      </c>
      <c r="B195" s="35" t="str">
        <f>All!B201</f>
        <v/>
      </c>
      <c r="C195" s="35" t="str">
        <f>All!D201</f>
        <v/>
      </c>
      <c r="D195" s="35" t="str">
        <f>All!C201</f>
        <v/>
      </c>
      <c r="K195" s="3"/>
    </row>
    <row r="196" hidden="1">
      <c r="A196" s="35" t="str">
        <f>All!A202</f>
        <v/>
      </c>
      <c r="B196" s="35" t="str">
        <f>All!B202</f>
        <v/>
      </c>
      <c r="C196" s="35" t="str">
        <f>All!D202</f>
        <v/>
      </c>
      <c r="D196" s="35" t="str">
        <f>All!C202</f>
        <v/>
      </c>
      <c r="K196" s="3"/>
    </row>
    <row r="197" hidden="1">
      <c r="A197" s="35" t="str">
        <f>All!A203</f>
        <v/>
      </c>
      <c r="B197" s="35" t="str">
        <f>All!B203</f>
        <v/>
      </c>
      <c r="C197" s="35" t="str">
        <f>All!D203</f>
        <v/>
      </c>
      <c r="D197" s="35" t="str">
        <f>All!C203</f>
        <v/>
      </c>
      <c r="K197" s="3"/>
    </row>
    <row r="198" hidden="1">
      <c r="A198" s="35" t="str">
        <f>All!A204</f>
        <v/>
      </c>
      <c r="B198" s="35" t="str">
        <f>All!B204</f>
        <v/>
      </c>
      <c r="C198" s="35" t="str">
        <f>All!D204</f>
        <v/>
      </c>
      <c r="D198" s="35" t="str">
        <f>All!C204</f>
        <v/>
      </c>
      <c r="K198" s="3"/>
    </row>
    <row r="199" hidden="1">
      <c r="A199" s="35" t="str">
        <f>All!A205</f>
        <v/>
      </c>
      <c r="B199" s="35" t="str">
        <f>All!B205</f>
        <v/>
      </c>
      <c r="C199" s="35" t="str">
        <f>All!D205</f>
        <v/>
      </c>
      <c r="D199" s="35" t="str">
        <f>All!C205</f>
        <v/>
      </c>
      <c r="K199" s="3"/>
    </row>
  </sheetData>
  <autoFilter ref="$D$1:$D$199">
    <filterColumn colId="0">
      <filters>
        <filter val="Series A extension"/>
        <filter val="Series A"/>
        <filter val="Strategic Extension"/>
        <filter val="Series A Extension"/>
        <filter val="Round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13"/>
    <col customWidth="1" min="2" max="2" width="6.75"/>
    <col customWidth="1" min="3" max="3" width="83.63"/>
    <col customWidth="1" min="4" max="4" width="17.88"/>
    <col hidden="1" min="5" max="12" width="12.63"/>
  </cols>
  <sheetData>
    <row r="1">
      <c r="A1" s="36" t="s">
        <v>26</v>
      </c>
      <c r="B1" s="37"/>
      <c r="C1" s="38"/>
      <c r="D1" s="37"/>
      <c r="K1" s="3"/>
    </row>
    <row r="2">
      <c r="A2" s="22" t="s">
        <v>13</v>
      </c>
      <c r="B2" s="39" t="s">
        <v>14</v>
      </c>
      <c r="C2" s="22" t="s">
        <v>16</v>
      </c>
      <c r="D2" s="39" t="s">
        <v>15</v>
      </c>
      <c r="E2" s="40" t="s">
        <v>13</v>
      </c>
      <c r="F2" s="40" t="s">
        <v>18</v>
      </c>
      <c r="G2" s="40" t="s">
        <v>19</v>
      </c>
      <c r="H2" s="40" t="s">
        <v>20</v>
      </c>
      <c r="I2" s="40"/>
      <c r="J2" s="40" t="s">
        <v>15</v>
      </c>
      <c r="K2" s="41" t="s">
        <v>21</v>
      </c>
      <c r="L2" s="42"/>
    </row>
    <row r="3">
      <c r="A3" s="28" t="str">
        <f>All!A58</f>
        <v>Ageras</v>
      </c>
      <c r="B3" s="43" t="str">
        <f>All!B58</f>
        <v>$36m</v>
      </c>
      <c r="C3" s="28" t="str">
        <f>All!D58</f>
        <v>Teardown of Ageras's $36m Private Equity deck</v>
      </c>
      <c r="D3" s="43" t="str">
        <f>All!C58</f>
        <v>Private Equity</v>
      </c>
      <c r="K3" s="3"/>
    </row>
    <row r="4" hidden="1">
      <c r="A4" s="28" t="str">
        <f>All!A21</f>
        <v>Arkive</v>
      </c>
      <c r="B4" s="35" t="str">
        <f>All!B21</f>
        <v>$9.7m</v>
      </c>
      <c r="C4" s="28" t="str">
        <f>All!D21</f>
        <v>Teardown of Arkive's $9.7m Seed deck</v>
      </c>
      <c r="D4" s="35" t="str">
        <f>All!C21</f>
        <v>Seed</v>
      </c>
      <c r="K4" s="3"/>
    </row>
    <row r="5" hidden="1">
      <c r="A5" s="28" t="str">
        <f>All!A11</f>
        <v>Dutch</v>
      </c>
      <c r="B5" s="35" t="str">
        <f>All!B11</f>
        <v>$20m</v>
      </c>
      <c r="C5" s="28" t="str">
        <f>All!D11</f>
        <v>Teardown of Dutch's $20m Series A deck</v>
      </c>
      <c r="D5" s="35" t="str">
        <f>All!C11</f>
        <v>Series A</v>
      </c>
      <c r="K5" s="3"/>
    </row>
    <row r="6" hidden="1">
      <c r="A6" s="28" t="str">
        <f>All!A12</f>
        <v>BoxedUp</v>
      </c>
      <c r="B6" s="35" t="str">
        <f>All!B12</f>
        <v>$2.3m</v>
      </c>
      <c r="C6" s="28" t="str">
        <f>All!D12</f>
        <v>Teardown of BoxedUp's $2.3m Seed deck</v>
      </c>
      <c r="D6" s="35" t="str">
        <f>All!C12</f>
        <v>Seed</v>
      </c>
      <c r="K6" s="3"/>
    </row>
    <row r="7" hidden="1">
      <c r="A7" s="28" t="str">
        <f>All!A13</f>
        <v>Lumigo</v>
      </c>
      <c r="B7" s="35" t="str">
        <f>All!B13</f>
        <v>$29m</v>
      </c>
      <c r="C7" s="28" t="str">
        <f>All!D13</f>
        <v>Teardown of Lumigo's $29m Series A deck</v>
      </c>
      <c r="D7" s="35" t="str">
        <f>All!C13</f>
        <v>Series A</v>
      </c>
      <c r="K7" s="3"/>
    </row>
    <row r="8" hidden="1">
      <c r="A8" s="28" t="str">
        <f>All!A66</f>
        <v>CleanHub</v>
      </c>
      <c r="B8" s="35" t="str">
        <f>All!B66</f>
        <v>$7m</v>
      </c>
      <c r="C8" s="28" t="str">
        <f>All!D66</f>
        <v>Teardown of CleanHub's $7m Seed deck</v>
      </c>
      <c r="D8" s="35" t="str">
        <f>All!C66</f>
        <v>Seed</v>
      </c>
      <c r="K8" s="3"/>
    </row>
    <row r="9">
      <c r="A9" s="28" t="str">
        <f>All!A69</f>
        <v>ANYbotics AG</v>
      </c>
      <c r="B9" s="43" t="str">
        <f>All!B69</f>
        <v>$50m</v>
      </c>
      <c r="C9" s="28" t="str">
        <f>All!D69</f>
        <v>Teardown of ANYbotics AG's $50m Series B deck</v>
      </c>
      <c r="D9" s="43" t="str">
        <f>All!C69</f>
        <v>Series B</v>
      </c>
      <c r="K9" s="3"/>
    </row>
    <row r="10">
      <c r="A10" s="28" t="str">
        <f>All!A16</f>
        <v>Ergeon</v>
      </c>
      <c r="B10" s="43" t="str">
        <f>All!B16</f>
        <v>$40m</v>
      </c>
      <c r="C10" s="28" t="str">
        <f>All!D16</f>
        <v>Teardown of Ergeon's $40m Series B deck</v>
      </c>
      <c r="D10" s="43" t="str">
        <f>All!C16</f>
        <v>Series B</v>
      </c>
      <c r="K10" s="3"/>
    </row>
    <row r="11" hidden="1">
      <c r="A11" s="28" t="str">
        <f>All!A89</f>
        <v>Doola</v>
      </c>
      <c r="B11" s="35" t="str">
        <f>All!B89</f>
        <v>$1m</v>
      </c>
      <c r="C11" s="28" t="str">
        <f>All!D89</f>
        <v>Teardown of Doola's $1m Series A extension deck</v>
      </c>
      <c r="D11" s="35" t="str">
        <f>All!C89</f>
        <v>Series A extension</v>
      </c>
      <c r="K11" s="3"/>
    </row>
    <row r="12" hidden="1">
      <c r="A12" s="28" t="str">
        <f>All!A61</f>
        <v>CulturePulse</v>
      </c>
      <c r="B12" s="35" t="str">
        <f>All!B61</f>
        <v>$1m</v>
      </c>
      <c r="C12" s="28" t="str">
        <f>All!D61</f>
        <v>Teardown of CulturePulse's $1m Seed deck</v>
      </c>
      <c r="D12" s="35" t="str">
        <f>All!C61</f>
        <v>Seed</v>
      </c>
      <c r="K12" s="3"/>
    </row>
    <row r="13" hidden="1">
      <c r="A13" s="28" t="str">
        <f>All!A70</f>
        <v>DeckMatch</v>
      </c>
      <c r="B13" s="35" t="str">
        <f>All!B70</f>
        <v>$1m</v>
      </c>
      <c r="C13" s="28" t="str">
        <f>All!D70</f>
        <v>Teardown of DeckMatch's $1m Seed deck</v>
      </c>
      <c r="D13" s="35" t="str">
        <f>All!C70</f>
        <v>Seed</v>
      </c>
      <c r="K13" s="3"/>
    </row>
    <row r="14">
      <c r="A14" s="28" t="str">
        <f>All!A36</f>
        <v>Juro</v>
      </c>
      <c r="B14" s="43" t="str">
        <f>All!B36</f>
        <v>$23m</v>
      </c>
      <c r="C14" s="28" t="str">
        <f>All!D36</f>
        <v>Teardown of Juro's $23m Series B deck</v>
      </c>
      <c r="D14" s="43" t="str">
        <f>All!C36</f>
        <v>Series B</v>
      </c>
      <c r="K14" s="3"/>
    </row>
    <row r="15" hidden="1">
      <c r="A15" s="28" t="str">
        <f>All!A14</f>
        <v>Encore</v>
      </c>
      <c r="B15" s="35" t="str">
        <f>All!B14</f>
        <v>$3m</v>
      </c>
      <c r="C15" s="28" t="str">
        <f>All!D14</f>
        <v>Teardown of Encore's $3m Seed deck</v>
      </c>
      <c r="D15" s="35" t="str">
        <f>All!C14</f>
        <v>Seed</v>
      </c>
      <c r="K15" s="3"/>
    </row>
    <row r="16" hidden="1">
      <c r="A16" s="28" t="str">
        <f>All!A24</f>
        <v>Five Flute</v>
      </c>
      <c r="B16" s="35" t="str">
        <f>All!B24</f>
        <v>$1.2m</v>
      </c>
      <c r="C16" s="28" t="str">
        <f>All!D24</f>
        <v>Teardown of Five Flute's $1.2m Pre-seed deck</v>
      </c>
      <c r="D16" s="35" t="str">
        <f>All!C24</f>
        <v>Pre-seed</v>
      </c>
      <c r="K16" s="3"/>
    </row>
    <row r="17" hidden="1">
      <c r="A17" s="28" t="str">
        <f>All!A19</f>
        <v>Enduring Planet</v>
      </c>
      <c r="B17" s="35" t="str">
        <f>All!B19</f>
        <v>$2m</v>
      </c>
      <c r="C17" s="28" t="str">
        <f>All!D19</f>
        <v>Teardown of Enduring Planet's $2m Seed deck</v>
      </c>
      <c r="D17" s="35" t="str">
        <f>All!C19</f>
        <v>Seed</v>
      </c>
      <c r="K17" s="3"/>
    </row>
    <row r="18" hidden="1">
      <c r="A18" s="28" t="str">
        <f>All!A82</f>
        <v>Fifth Dimension AI</v>
      </c>
      <c r="B18" s="35" t="str">
        <f>All!B82</f>
        <v>$2.8m</v>
      </c>
      <c r="C18" s="28" t="str">
        <f>All!D82</f>
        <v>Teardown of Fifth Dimension AI's $2.8m Seed deck</v>
      </c>
      <c r="D18" s="35" t="str">
        <f>All!C82</f>
        <v>Seed</v>
      </c>
      <c r="K18" s="3"/>
    </row>
    <row r="19">
      <c r="A19" s="28" t="str">
        <f>All!A15</f>
        <v>Lunchbox</v>
      </c>
      <c r="B19" s="43" t="str">
        <f>All!B15</f>
        <v>$50m</v>
      </c>
      <c r="C19" s="28" t="str">
        <f>All!D15</f>
        <v>Teardown of Lunchbox's $50m Series B deck</v>
      </c>
      <c r="D19" s="43" t="str">
        <f>All!C15</f>
        <v>Series B</v>
      </c>
      <c r="K19" s="3"/>
    </row>
    <row r="20" hidden="1">
      <c r="A20" s="28" t="str">
        <f>All!A26</f>
        <v>SIMBA Chain</v>
      </c>
      <c r="B20" s="35" t="str">
        <f>All!B26</f>
        <v>$25m</v>
      </c>
      <c r="C20" s="28" t="str">
        <f>All!D26</f>
        <v>Teardown of SIMBA Chain's $25m Series A deck</v>
      </c>
      <c r="D20" s="35" t="str">
        <f>All!C26</f>
        <v>Series A</v>
      </c>
      <c r="K20" s="3"/>
    </row>
    <row r="21">
      <c r="A21" s="28" t="str">
        <f>All!A39</f>
        <v>MedCrypt</v>
      </c>
      <c r="B21" s="43" t="str">
        <f>All!B39</f>
        <v>$25m</v>
      </c>
      <c r="C21" s="28" t="str">
        <f>All!D39</f>
        <v>Teardown of MedCrypt's $25m Series B deck</v>
      </c>
      <c r="D21" s="43" t="str">
        <f>All!C39</f>
        <v>Series B</v>
      </c>
      <c r="K21" s="3"/>
    </row>
    <row r="22" hidden="1">
      <c r="A22" s="28" t="str">
        <f>All!A28</f>
        <v>Helu</v>
      </c>
      <c r="B22" s="35" t="str">
        <f>All!B28</f>
        <v>$9.8m</v>
      </c>
      <c r="C22" s="28" t="str">
        <f>All!D28</f>
        <v>Teardown of Helu's $9.8m Series A deck</v>
      </c>
      <c r="D22" s="35" t="str">
        <f>All!C28</f>
        <v>Series A</v>
      </c>
      <c r="K22" s="3"/>
    </row>
    <row r="23" hidden="1">
      <c r="A23" s="28" t="str">
        <f>All!A29</f>
        <v>Party Round</v>
      </c>
      <c r="B23" s="35" t="str">
        <f>All!B29</f>
        <v>$7m</v>
      </c>
      <c r="C23" s="28" t="str">
        <f>All!D29</f>
        <v>Teardown of Party Round's $7m Angel deck</v>
      </c>
      <c r="D23" s="35" t="str">
        <f>All!C29</f>
        <v>Angel</v>
      </c>
      <c r="K23" s="3"/>
    </row>
    <row r="24" hidden="1">
      <c r="A24" s="28" t="str">
        <f>All!A65</f>
        <v>GoodBuy Gear</v>
      </c>
      <c r="B24" s="35" t="str">
        <f>All!B65</f>
        <v>$5m</v>
      </c>
      <c r="C24" s="28" t="str">
        <f>All!D65</f>
        <v>Teardown of GoodBuy Gear's $5m Series A Extension deck</v>
      </c>
      <c r="D24" s="35" t="str">
        <f>All!C65</f>
        <v>Series A Extension</v>
      </c>
      <c r="K24" s="3"/>
    </row>
    <row r="25" hidden="1">
      <c r="A25" s="28" t="str">
        <f>All!A31</f>
        <v>Vori</v>
      </c>
      <c r="B25" s="35" t="str">
        <f>All!B31</f>
        <v>$10m</v>
      </c>
      <c r="C25" s="28" t="str">
        <f>All!D31</f>
        <v>Teardown of Vori's $10m Series A deck</v>
      </c>
      <c r="D25" s="35" t="str">
        <f>All!C31</f>
        <v>Series A</v>
      </c>
      <c r="K25" s="3"/>
    </row>
    <row r="26" hidden="1">
      <c r="A26" s="28" t="str">
        <f>All!A23</f>
        <v>Glambook</v>
      </c>
      <c r="B26" s="35" t="str">
        <f>All!B23</f>
        <v>$2.5m</v>
      </c>
      <c r="C26" s="28" t="str">
        <f>All!D23</f>
        <v>Teardown of Glambook's $2.5m Seed deck</v>
      </c>
      <c r="D26" s="35" t="str">
        <f>All!C23</f>
        <v>Seed</v>
      </c>
      <c r="K26" s="3"/>
    </row>
    <row r="27" hidden="1">
      <c r="A27" s="28" t="str">
        <f>All!A85</f>
        <v>HomeCooks</v>
      </c>
      <c r="B27" s="35" t="str">
        <f>All!B85</f>
        <v>$3.2m</v>
      </c>
      <c r="C27" s="28" t="str">
        <f>All!D85</f>
        <v>Teardown of HomeCooks's $3.2m Seed deck</v>
      </c>
      <c r="D27" s="35" t="str">
        <f>All!C85</f>
        <v>Seed</v>
      </c>
      <c r="K27" s="3"/>
    </row>
    <row r="28" hidden="1">
      <c r="A28" s="28" t="str">
        <f>All!A45</f>
        <v>Incymo AI</v>
      </c>
      <c r="B28" s="35" t="str">
        <f>All!B45</f>
        <v>$850k</v>
      </c>
      <c r="C28" s="28" t="str">
        <f>All!D45</f>
        <v>Teardown of Incymo AI's $850k Seed deck</v>
      </c>
      <c r="D28" s="35" t="str">
        <f>All!C45</f>
        <v>Seed</v>
      </c>
      <c r="K28" s="3"/>
    </row>
    <row r="29" hidden="1">
      <c r="A29" s="28" t="str">
        <f>All!A35</f>
        <v>Sateliot</v>
      </c>
      <c r="B29" s="35" t="str">
        <f>All!B35</f>
        <v>$11.4m</v>
      </c>
      <c r="C29" s="28" t="str">
        <f>All!D35</f>
        <v>Teardown of Sateliot's $11.4m Series A deck</v>
      </c>
      <c r="D29" s="35" t="str">
        <f>All!C35</f>
        <v>Series A</v>
      </c>
      <c r="K29" s="3"/>
    </row>
    <row r="30">
      <c r="A30" s="28" t="str">
        <f>All!A9</f>
        <v>Minut</v>
      </c>
      <c r="B30" s="43" t="str">
        <f>All!B9</f>
        <v>$15m</v>
      </c>
      <c r="C30" s="28" t="str">
        <f>All!D9</f>
        <v>Teardown of Minut's $15m Series B deck</v>
      </c>
      <c r="D30" s="43" t="str">
        <f>All!C9</f>
        <v>Series B</v>
      </c>
      <c r="E30" s="31" t="str">
        <f>IFERROR(__xludf.DUMMYFUNCTION("IMPORTRANGE(""https://docs.google.com/spreadsheets/d/1OQ79yI7ybUs56Ub4nNEkzOqn6dcjxpoFzyHkXs7Li7k/edit#gid=140951978"",concatenate(#REF!,""2:"",#REF!,1+#REF!))"),"#REF!")</f>
        <v>#REF!</v>
      </c>
      <c r="F30" s="31" t="str">
        <f>IFERROR(__xludf.DUMMYFUNCTION("IMPORTRANGE(""https://docs.google.com/spreadsheets/d/1OQ79yI7ybUs56Ub4nNEkzOqn6dcjxpoFzyHkXs7Li7k/edit#gid=140951978"",concatenate(#REF!,""2:"",#REF!,1+#REF!))"),"#REF!")</f>
        <v>#REF!</v>
      </c>
      <c r="G30" s="31" t="str">
        <f>IFERROR(__xludf.DUMMYFUNCTION("IMPORTRANGE(""https://docs.google.com/spreadsheets/d/1OQ79yI7ybUs56Ub4nNEkzOqn6dcjxpoFzyHkXs7Li7k/edit#gid=140951978"",concatenate(#REF!,""2:"",#REF!,1+#REF!))"),"#REF!")</f>
        <v>#REF!</v>
      </c>
      <c r="H30" s="31" t="str">
        <f>IFERROR(__xludf.DUMMYFUNCTION("IMPORTRANGE(""https://docs.google.com/spreadsheets/d/1OQ79yI7ybUs56Ub4nNEkzOqn6dcjxpoFzyHkXs7Li7k/edit#gid=140951978"",concatenate(#REF!,""2:"",#REF!,1+#REF!))"),"#REF!")</f>
        <v>#REF!</v>
      </c>
      <c r="J30" s="31" t="str">
        <f>IFERROR(__xludf.DUMMYFUNCTION("IMPORTRANGE(""https://docs.google.com/spreadsheets/d/1OQ79yI7ybUs56Ub4nNEkzOqn6dcjxpoFzyHkXs7Li7k/edit#gid=140951978"",concatenate(#REF!,""2:"",#REF!,1+#REF!))"),"#REF!")</f>
        <v>#REF!</v>
      </c>
      <c r="K30" s="31" t="str">
        <f>IFERROR(__xludf.DUMMYFUNCTION("IMPORTRANGE(""https://docs.google.com/spreadsheets/d/1OQ79yI7ybUs56Ub4nNEkzOqn6dcjxpoFzyHkXs7Li7k/edit#gid=140951978"",concatenate(#REF!,""2:"",#REF!,1+#REF!))"),"#REF!")</f>
        <v>#REF!</v>
      </c>
    </row>
    <row r="31" hidden="1">
      <c r="A31" s="28" t="str">
        <f>All!A37</f>
        <v>Hour One</v>
      </c>
      <c r="B31" s="35" t="str">
        <f>All!B37</f>
        <v>$20m</v>
      </c>
      <c r="C31" s="28" t="str">
        <f>All!D37</f>
        <v>Teardown of Hour One's $20m Series A deck</v>
      </c>
      <c r="D31" s="35" t="str">
        <f>All!C37</f>
        <v>Series A</v>
      </c>
      <c r="K31" s="3"/>
    </row>
    <row r="32" hidden="1">
      <c r="A32" s="28" t="str">
        <f>All!A38</f>
        <v>Rootine</v>
      </c>
      <c r="B32" s="35" t="str">
        <f>All!B38</f>
        <v>$10m</v>
      </c>
      <c r="C32" s="28" t="str">
        <f>All!D38</f>
        <v>Teardown of Rootine's $10m Series A deck</v>
      </c>
      <c r="D32" s="35" t="str">
        <f>All!C38</f>
        <v>Series A</v>
      </c>
      <c r="K32" s="3"/>
    </row>
    <row r="33">
      <c r="A33" s="28" t="str">
        <f>All!A51</f>
        <v>Northspyre</v>
      </c>
      <c r="B33" s="43" t="str">
        <f>All!B51</f>
        <v>$25m</v>
      </c>
      <c r="C33" s="28" t="str">
        <f>All!D51</f>
        <v>Teardown of Northspyre's $25m Series B deck</v>
      </c>
      <c r="D33" s="43" t="str">
        <f>All!C51</f>
        <v>Series B</v>
      </c>
      <c r="K33" s="3"/>
    </row>
    <row r="34" hidden="1">
      <c r="A34" s="28" t="str">
        <f>All!A40</f>
        <v>Card Blanch</v>
      </c>
      <c r="B34" s="35" t="str">
        <f>All!B40</f>
        <v>$460k</v>
      </c>
      <c r="C34" s="28" t="str">
        <f>All!D40</f>
        <v>Teardown of Card Blanch's $460k Angel deck</v>
      </c>
      <c r="D34" s="35" t="str">
        <f>All!C40</f>
        <v>Angel</v>
      </c>
      <c r="K34" s="3"/>
    </row>
    <row r="35" hidden="1">
      <c r="A35" s="28" t="str">
        <f>All!A74</f>
        <v>Learn XYZ</v>
      </c>
      <c r="B35" s="35" t="str">
        <f>All!B74</f>
        <v>$3m</v>
      </c>
      <c r="C35" s="28" t="str">
        <f>All!D74</f>
        <v>Teardown of Learn XYZ's $3m Seed deck</v>
      </c>
      <c r="D35" s="35" t="str">
        <f>All!C74</f>
        <v>Seed</v>
      </c>
      <c r="K35" s="3"/>
    </row>
    <row r="36" hidden="1">
      <c r="A36" s="28" t="str">
        <f>All!A84</f>
        <v>Metafuels</v>
      </c>
      <c r="B36" s="35" t="str">
        <f>All!B84</f>
        <v>$8m</v>
      </c>
      <c r="C36" s="28" t="str">
        <f>All!D84</f>
        <v>Teardown of Metafuels's $8m Seed deck</v>
      </c>
      <c r="D36" s="35" t="str">
        <f>All!C84</f>
        <v>Seed</v>
      </c>
      <c r="K36" s="3"/>
    </row>
    <row r="37" hidden="1">
      <c r="A37" s="28" t="str">
        <f>All!A43</f>
        <v>Laoshi</v>
      </c>
      <c r="B37" s="35" t="str">
        <f>All!B43</f>
        <v>$570k</v>
      </c>
      <c r="C37" s="28" t="str">
        <f>All!D43</f>
        <v>Teardown of Laoshi's $570k Angel  deck</v>
      </c>
      <c r="D37" s="35" t="str">
        <f>All!C43</f>
        <v>Angel </v>
      </c>
      <c r="K37" s="3"/>
    </row>
    <row r="38" hidden="1">
      <c r="A38" s="28" t="str">
        <f>All!A25</f>
        <v>Mi Terro</v>
      </c>
      <c r="B38" s="35" t="str">
        <f>All!B25</f>
        <v>$1.5m</v>
      </c>
      <c r="C38" s="28" t="str">
        <f>All!D25</f>
        <v>Teardown of Mi Terro's $1.5m Seed deck</v>
      </c>
      <c r="D38" s="35" t="str">
        <f>All!C25</f>
        <v>Seed</v>
      </c>
      <c r="K38" s="3"/>
    </row>
    <row r="39" hidden="1">
      <c r="A39" s="28" t="str">
        <f>All!A10</f>
        <v>Momentum</v>
      </c>
      <c r="B39" s="35" t="str">
        <f>All!B10</f>
        <v>$5m</v>
      </c>
      <c r="C39" s="28" t="str">
        <f>All!D10</f>
        <v>Teardown of Momentum's $5m Seed deck</v>
      </c>
      <c r="D39" s="35" t="str">
        <f>All!C10</f>
        <v>Seed</v>
      </c>
      <c r="K39" s="3"/>
    </row>
    <row r="40" hidden="1">
      <c r="A40" s="28" t="str">
        <f>All!A62</f>
        <v>Netmaker</v>
      </c>
      <c r="B40" s="35" t="str">
        <f>All!B62</f>
        <v>$2.3m</v>
      </c>
      <c r="C40" s="28" t="str">
        <f>All!D62</f>
        <v>Teardown of Netmaker's $2.3m Seed deck</v>
      </c>
      <c r="D40" s="35" t="str">
        <f>All!C62</f>
        <v>Seed</v>
      </c>
      <c r="K40" s="3"/>
    </row>
    <row r="41" hidden="1">
      <c r="A41" s="28" t="str">
        <f>All!A47</f>
        <v>Gable</v>
      </c>
      <c r="B41" s="35" t="str">
        <f>All!B47</f>
        <v>$16m</v>
      </c>
      <c r="C41" s="28" t="str">
        <f>All!D47</f>
        <v>Teardown of Gable's $16m Series A deck</v>
      </c>
      <c r="D41" s="35" t="str">
        <f>All!C47</f>
        <v>Series A</v>
      </c>
      <c r="K41" s="3"/>
    </row>
    <row r="42" hidden="1">
      <c r="A42" s="28" t="str">
        <f>All!A48</f>
        <v>MiO Marketplace</v>
      </c>
      <c r="B42" s="35" t="str">
        <f>All!B48</f>
        <v>$550k</v>
      </c>
      <c r="C42" s="28" t="str">
        <f>All!D48</f>
        <v>Teardown of MiO Marketplace's $550k Angel deck</v>
      </c>
      <c r="D42" s="35" t="str">
        <f>All!C48</f>
        <v>Angel</v>
      </c>
      <c r="K42" s="3"/>
    </row>
    <row r="43" hidden="1">
      <c r="A43" s="28" t="str">
        <f>All!A49</f>
        <v>StudentFinance</v>
      </c>
      <c r="B43" s="35" t="str">
        <f>All!B49</f>
        <v>$41m</v>
      </c>
      <c r="C43" s="28" t="str">
        <f>All!D49</f>
        <v>Teardown of StudentFinance's $41m Series A deck</v>
      </c>
      <c r="D43" s="35" t="str">
        <f>All!C49</f>
        <v>Series A</v>
      </c>
      <c r="K43" s="3"/>
    </row>
    <row r="44" hidden="1">
      <c r="A44" s="28" t="str">
        <f>All!A64</f>
        <v>Nokod Security</v>
      </c>
      <c r="B44" s="35" t="str">
        <f>All!B64</f>
        <v>$8m</v>
      </c>
      <c r="C44" s="28" t="str">
        <f>All!D64</f>
        <v>Teardown of Nokod Security's $8m Seed deck</v>
      </c>
      <c r="D44" s="35" t="str">
        <f>All!C64</f>
        <v>Seed</v>
      </c>
      <c r="K44" s="3"/>
    </row>
    <row r="45">
      <c r="A45" s="28" t="str">
        <f>All!A52</f>
        <v>Smalls</v>
      </c>
      <c r="B45" s="43" t="str">
        <f>All!B52</f>
        <v>$19m</v>
      </c>
      <c r="C45" s="28" t="str">
        <f>All!D52</f>
        <v>Teardown of Smalls's $19m Series B deck</v>
      </c>
      <c r="D45" s="43" t="str">
        <f>All!C52</f>
        <v>Series B</v>
      </c>
      <c r="K45" s="3"/>
    </row>
    <row r="46">
      <c r="A46" s="28" t="str">
        <f>All!A75</f>
        <v>Transcend</v>
      </c>
      <c r="B46" s="43" t="str">
        <f>All!B75</f>
        <v>$20m</v>
      </c>
      <c r="C46" s="28" t="str">
        <f>All!D75</f>
        <v>Teardown of Transcend's $20m Series B deck</v>
      </c>
      <c r="D46" s="43" t="str">
        <f>All!C75</f>
        <v>Series B</v>
      </c>
      <c r="K46" s="3"/>
    </row>
    <row r="47" hidden="1">
      <c r="A47" s="28" t="str">
        <f>All!A53</f>
        <v>Diamond Standard</v>
      </c>
      <c r="B47" s="35" t="str">
        <f>All!B53</f>
        <v>$30m</v>
      </c>
      <c r="C47" s="28" t="str">
        <f>All!D53</f>
        <v>Teardown of Diamond Standard's $30m Series A deck</v>
      </c>
      <c r="D47" s="35" t="str">
        <f>All!C53</f>
        <v>Series A</v>
      </c>
      <c r="K47" s="3"/>
    </row>
    <row r="48">
      <c r="A48" s="28" t="str">
        <f>All!A67</f>
        <v>Unito</v>
      </c>
      <c r="B48" s="43" t="str">
        <f>All!B67</f>
        <v>$20m</v>
      </c>
      <c r="C48" s="28" t="str">
        <f>All!D67</f>
        <v>Teardown of Unito's $20m Series B deck</v>
      </c>
      <c r="D48" s="43" t="str">
        <f>All!C67</f>
        <v>Series B</v>
      </c>
      <c r="K48" s="3"/>
    </row>
    <row r="49" hidden="1">
      <c r="A49" s="28" t="str">
        <f>All!A55</f>
        <v>Careerist</v>
      </c>
      <c r="B49" s="35" t="str">
        <f>All!B55</f>
        <v>$8m</v>
      </c>
      <c r="C49" s="28" t="str">
        <f>All!D55</f>
        <v>Teardown of Careerist's $8m Series A deck</v>
      </c>
      <c r="D49" s="35" t="str">
        <f>All!C55</f>
        <v>Series A</v>
      </c>
      <c r="K49" s="3"/>
    </row>
    <row r="50" hidden="1">
      <c r="A50" s="28" t="str">
        <f>All!A60</f>
        <v>Oii AI</v>
      </c>
      <c r="B50" s="35" t="str">
        <f>All!B60</f>
        <v>$1.85m</v>
      </c>
      <c r="C50" s="28" t="str">
        <f>All!D60</f>
        <v>Teardown of Oii AI's $1.85m Seed deck</v>
      </c>
      <c r="D50" s="35" t="str">
        <f>All!C60</f>
        <v>Seed</v>
      </c>
      <c r="K50" s="3"/>
    </row>
    <row r="51" hidden="1">
      <c r="A51" s="28" t="str">
        <f>All!A57</f>
        <v>Fibery</v>
      </c>
      <c r="B51" s="35" t="str">
        <f>All!B57</f>
        <v>$5.2m</v>
      </c>
      <c r="C51" s="28" t="str">
        <f>All!D57</f>
        <v>Teardown of Fibery's $5.2m Series A deck</v>
      </c>
      <c r="D51" s="35" t="str">
        <f>All!C57</f>
        <v>Series A</v>
      </c>
      <c r="K51" s="3"/>
    </row>
    <row r="52">
      <c r="A52" s="28" t="str">
        <f>All!A20</f>
        <v>Forethought</v>
      </c>
      <c r="B52" s="43" t="str">
        <f>All!B20</f>
        <v>$65m</v>
      </c>
      <c r="C52" s="28" t="str">
        <f>All!D20</f>
        <v>Teardown of Forethought's $65m Series C deck</v>
      </c>
      <c r="D52" s="43" t="str">
        <f>All!C20</f>
        <v>Series C</v>
      </c>
      <c r="K52" s="3"/>
    </row>
    <row r="53" hidden="1">
      <c r="A53" s="28" t="str">
        <f>All!A59</f>
        <v>Faye</v>
      </c>
      <c r="B53" s="35" t="str">
        <f>All!B59</f>
        <v>$10m</v>
      </c>
      <c r="C53" s="28" t="str">
        <f>All!D59</f>
        <v>Teardown of Faye's $10m Series A deck</v>
      </c>
      <c r="D53" s="35" t="str">
        <f>All!C59</f>
        <v>Series A</v>
      </c>
      <c r="K53" s="3"/>
    </row>
    <row r="54" hidden="1">
      <c r="A54" s="28" t="str">
        <f>All!A42</f>
        <v>Orange</v>
      </c>
      <c r="B54" s="35" t="str">
        <f>All!B42</f>
        <v>$2.5m</v>
      </c>
      <c r="C54" s="28" t="str">
        <f>All!D42</f>
        <v>Teardown of Orange's $2.5m Seed deck</v>
      </c>
      <c r="D54" s="35" t="str">
        <f>All!C42</f>
        <v>Seed</v>
      </c>
      <c r="K54" s="3"/>
    </row>
    <row r="55" hidden="1">
      <c r="A55" s="28" t="str">
        <f>All!A33</f>
        <v>Palau Project </v>
      </c>
      <c r="B55" s="35" t="str">
        <f>All!B33</f>
        <v>$125k</v>
      </c>
      <c r="C55" s="28" t="str">
        <f>All!D33</f>
        <v>Teardown of Palau Project 's $125k Pre-seed deck</v>
      </c>
      <c r="D55" s="35" t="str">
        <f>All!C33</f>
        <v>Pre-seed</v>
      </c>
      <c r="K55" s="3"/>
    </row>
    <row r="56" hidden="1">
      <c r="A56" s="28" t="str">
        <f>All!A86</f>
        <v>Pepper Bio</v>
      </c>
      <c r="B56" s="35" t="str">
        <f>All!B86</f>
        <v>$6.5m</v>
      </c>
      <c r="C56" s="28" t="str">
        <f>All!D86</f>
        <v>Teardown of Pepper Bio's $6.5m Seed deck</v>
      </c>
      <c r="D56" s="35" t="str">
        <f>All!C86</f>
        <v>Seed</v>
      </c>
      <c r="K56" s="3"/>
    </row>
    <row r="57" hidden="1">
      <c r="A57" s="28" t="str">
        <f>All!A81</f>
        <v>Phospholutions</v>
      </c>
      <c r="B57" s="35" t="str">
        <f>All!B81</f>
        <v>$10.15m</v>
      </c>
      <c r="C57" s="28" t="str">
        <f>All!D81</f>
        <v>Teardown of Phospholutions's $10.15m Series A extension deck</v>
      </c>
      <c r="D57" s="35" t="str">
        <f>All!C81</f>
        <v>Series A extension</v>
      </c>
      <c r="K57" s="3"/>
    </row>
    <row r="58" hidden="1">
      <c r="A58" s="28" t="str">
        <f>All!A50</f>
        <v>Prelaunch</v>
      </c>
      <c r="B58" s="35" t="str">
        <f>All!B50</f>
        <v>$1.5m</v>
      </c>
      <c r="C58" s="28" t="str">
        <f>All!D50</f>
        <v>Teardown of Prelaunch's $1.5m Seed deck</v>
      </c>
      <c r="D58" s="35" t="str">
        <f>All!C50</f>
        <v>Seed</v>
      </c>
      <c r="K58" s="3"/>
    </row>
    <row r="59" hidden="1">
      <c r="A59" s="28" t="str">
        <f>All!A30</f>
        <v>Rokoko</v>
      </c>
      <c r="B59" s="35" t="str">
        <f>All!B30</f>
        <v>$3m</v>
      </c>
      <c r="C59" s="28" t="str">
        <f>All!D30</f>
        <v>Teardown of Rokoko's $3m Strategic Extension deck</v>
      </c>
      <c r="D59" s="35" t="str">
        <f>All!C30</f>
        <v>Strategic Extension</v>
      </c>
      <c r="K59" s="3"/>
    </row>
    <row r="60" hidden="1">
      <c r="A60" s="28" t="str">
        <f>All!A87</f>
        <v>Qortex</v>
      </c>
      <c r="B60" s="35" t="str">
        <f>All!B87</f>
        <v>$10m</v>
      </c>
      <c r="C60" s="28" t="str">
        <f>All!D87</f>
        <v>Teardown of Qortex's $10m Seed deck</v>
      </c>
      <c r="D60" s="35" t="str">
        <f>All!C87</f>
        <v>Seed</v>
      </c>
      <c r="K60" s="3"/>
    </row>
    <row r="61">
      <c r="A61" s="28" t="str">
        <f>All!A63</f>
        <v>Super </v>
      </c>
      <c r="B61" s="43" t="str">
        <f>All!B63</f>
        <v>$60m</v>
      </c>
      <c r="C61" s="28" t="str">
        <f>All!D63</f>
        <v>Teardown of Super 's $60m Series C deck</v>
      </c>
      <c r="D61" s="43" t="str">
        <f>All!C63</f>
        <v>Series C</v>
      </c>
      <c r="K61" s="3"/>
    </row>
    <row r="62" hidden="1">
      <c r="A62" s="28" t="str">
        <f>All!A88</f>
        <v>Ryplzz</v>
      </c>
      <c r="B62" s="35" t="str">
        <f>All!B88</f>
        <v>$3m</v>
      </c>
      <c r="C62" s="28" t="str">
        <f>All!D88</f>
        <v>Teardown of Ryplzz's $3m Seed deck</v>
      </c>
      <c r="D62" s="35" t="str">
        <f>All!C88</f>
        <v>Seed</v>
      </c>
      <c r="K62" s="3"/>
    </row>
    <row r="63" hidden="1">
      <c r="A63" s="28" t="str">
        <f>All!A68</f>
        <v>SquadTrip</v>
      </c>
      <c r="B63" s="35" t="str">
        <f>All!B68</f>
        <v>$1.5m</v>
      </c>
      <c r="C63" s="28" t="str">
        <f>All!D68</f>
        <v>Teardown of SquadTrip's $1.5m Pre-seed deck</v>
      </c>
      <c r="D63" s="35" t="str">
        <f>All!C68</f>
        <v>Pre-seed</v>
      </c>
      <c r="K63" s="3"/>
    </row>
    <row r="64" hidden="1">
      <c r="A64" s="28" t="str">
        <f>All!A83</f>
        <v>Scalestack</v>
      </c>
      <c r="B64" s="35" t="str">
        <f>All!B83</f>
        <v>$1m</v>
      </c>
      <c r="C64" s="28" t="str">
        <f>All!D83</f>
        <v>Teardown of Scalestack's $1m Seed deck</v>
      </c>
      <c r="D64" s="35" t="str">
        <f>All!C83</f>
        <v>Seed</v>
      </c>
      <c r="K64" s="3"/>
    </row>
    <row r="65" hidden="1">
      <c r="A65" s="28" t="str">
        <f>All!A71</f>
        <v>BusRight</v>
      </c>
      <c r="B65" s="35" t="str">
        <f>All!B71</f>
        <v>$7m</v>
      </c>
      <c r="C65" s="28" t="str">
        <f>All!D71</f>
        <v>Teardown of BusRight's $7m Series A deck</v>
      </c>
      <c r="D65" s="35" t="str">
        <f>All!C71</f>
        <v>Series A</v>
      </c>
      <c r="K65" s="3"/>
    </row>
    <row r="66" hidden="1">
      <c r="A66" s="28" t="str">
        <f>All!A41</f>
        <v>Scrintal</v>
      </c>
      <c r="B66" s="35" t="str">
        <f>All!B41</f>
        <v>$1m</v>
      </c>
      <c r="C66" s="28" t="str">
        <f>All!D41</f>
        <v>Teardown of Scrintal's $1m Seed deck</v>
      </c>
      <c r="D66" s="35" t="str">
        <f>All!C41</f>
        <v>Seed</v>
      </c>
      <c r="K66" s="3"/>
    </row>
    <row r="67" hidden="1">
      <c r="A67" s="28" t="str">
        <f>All!A73</f>
        <v>Tomorrow University of Applied Sciences</v>
      </c>
      <c r="B67" s="35" t="str">
        <f>All!B73</f>
        <v>$10m</v>
      </c>
      <c r="C67" s="28" t="str">
        <f>All!D73</f>
        <v>Teardown of Tomorrow University of Applied Sciences's $10m Series A deck</v>
      </c>
      <c r="D67" s="35" t="str">
        <f>All!C73</f>
        <v>Series A</v>
      </c>
      <c r="K67" s="3"/>
    </row>
    <row r="68" hidden="1">
      <c r="A68" s="28" t="str">
        <f>All!A44</f>
        <v>Spinach</v>
      </c>
      <c r="B68" s="35" t="str">
        <f>All!B44</f>
        <v>$3.5m</v>
      </c>
      <c r="C68" s="28" t="str">
        <f>All!D44</f>
        <v>Teardown of Spinach's $3.5m Seed deck</v>
      </c>
      <c r="D68" s="35" t="str">
        <f>All!C44</f>
        <v>Seed</v>
      </c>
      <c r="K68" s="3"/>
    </row>
    <row r="69">
      <c r="A69" s="28" t="str">
        <f>All!A27</f>
        <v>Front</v>
      </c>
      <c r="B69" s="43" t="str">
        <f>All!B27</f>
        <v>$65m</v>
      </c>
      <c r="C69" s="28" t="str">
        <f>All!D27</f>
        <v>Teardown of Front's $65m Series D deck</v>
      </c>
      <c r="D69" s="43" t="str">
        <f>All!C27</f>
        <v>Series D</v>
      </c>
      <c r="K69" s="3"/>
    </row>
    <row r="70" hidden="1">
      <c r="A70" s="28" t="str">
        <f>All!A76</f>
        <v>point me</v>
      </c>
      <c r="B70" s="35" t="str">
        <f>All!B76</f>
        <v>$10m</v>
      </c>
      <c r="C70" s="28" t="str">
        <f>All!D76</f>
        <v>Teardown of point me's $10m Series A deck</v>
      </c>
      <c r="D70" s="35" t="str">
        <f>All!C76</f>
        <v>Series A</v>
      </c>
      <c r="K70" s="3"/>
    </row>
    <row r="71" hidden="1">
      <c r="A71" s="28" t="str">
        <f>All!A77</f>
        <v>Lupiya</v>
      </c>
      <c r="B71" s="35" t="str">
        <f>All!B77</f>
        <v>$8.3m</v>
      </c>
      <c r="C71" s="28" t="str">
        <f>All!D77</f>
        <v>Teardown of Lupiya's $8.3m Series A deck</v>
      </c>
      <c r="D71" s="35" t="str">
        <f>All!C77</f>
        <v>Series A</v>
      </c>
      <c r="K71" s="3"/>
    </row>
    <row r="72" hidden="1">
      <c r="A72" s="28" t="str">
        <f>All!A78</f>
        <v>SplitBrick</v>
      </c>
      <c r="B72" s="35" t="str">
        <f>All!B78</f>
        <v>$200k</v>
      </c>
      <c r="C72" s="28" t="str">
        <f>All!D78</f>
        <v>Teardown of SplitBrick's $200k Angel deck</v>
      </c>
      <c r="D72" s="35" t="str">
        <f>All!C78</f>
        <v>Angel</v>
      </c>
      <c r="K72" s="3"/>
    </row>
    <row r="73" hidden="1">
      <c r="A73" s="28" t="str">
        <f>All!A79</f>
        <v>Aether</v>
      </c>
      <c r="B73" s="35" t="str">
        <f>All!B79</f>
        <v>$49m</v>
      </c>
      <c r="C73" s="28" t="str">
        <f>All!D79</f>
        <v>Teardown of Aether's $49m Series A deck</v>
      </c>
      <c r="D73" s="35" t="str">
        <f>All!C79</f>
        <v>Series A</v>
      </c>
      <c r="K73" s="3"/>
    </row>
    <row r="74" hidden="1">
      <c r="A74" s="28" t="str">
        <f>All!A80</f>
        <v>CancerVAX</v>
      </c>
      <c r="B74" s="35" t="str">
        <f>All!B80</f>
        <v>$10m</v>
      </c>
      <c r="C74" s="28" t="str">
        <f>All!D80</f>
        <v>Teardown of CancerVAX's $10m Crowdfunding deck</v>
      </c>
      <c r="D74" s="35" t="str">
        <f>All!C80</f>
        <v>Crowdfunding</v>
      </c>
      <c r="K74" s="3"/>
    </row>
    <row r="75" hidden="1">
      <c r="A75" s="28" t="str">
        <f>All!A72</f>
        <v>Tanbii</v>
      </c>
      <c r="B75" s="35" t="str">
        <f>All!B72</f>
        <v>$1.5m</v>
      </c>
      <c r="C75" s="28" t="str">
        <f>All!D72</f>
        <v>Teardown of Tanbii's $1.5m Pre-seed deck</v>
      </c>
      <c r="D75" s="35" t="str">
        <f>All!C72</f>
        <v>Pre-seed</v>
      </c>
      <c r="K75" s="3"/>
    </row>
    <row r="76">
      <c r="A76" s="28" t="str">
        <f>All!A54</f>
        <v>Honeycomb </v>
      </c>
      <c r="B76" s="43" t="str">
        <f>All!B54</f>
        <v>$50m</v>
      </c>
      <c r="C76" s="28" t="str">
        <f>All!D54</f>
        <v>Teardown of Honeycomb 's $50m Series D deck</v>
      </c>
      <c r="D76" s="43" t="str">
        <f>All!C54</f>
        <v>Series D</v>
      </c>
      <c r="K76" s="3"/>
    </row>
    <row r="77" hidden="1">
      <c r="A77" s="28" t="str">
        <f>All!A32</f>
        <v>Supliful</v>
      </c>
      <c r="B77" s="35" t="str">
        <f>All!B32</f>
        <v>$1m</v>
      </c>
      <c r="C77" s="28" t="str">
        <f>All!D32</f>
        <v>Teardown of Supliful's $1m Seed deck</v>
      </c>
      <c r="D77" s="35" t="str">
        <f>All!C32</f>
        <v>Seed</v>
      </c>
      <c r="K77" s="3"/>
    </row>
    <row r="78" hidden="1">
      <c r="A78" s="28" t="str">
        <f>All!A34</f>
        <v>Syneroid Technologies</v>
      </c>
      <c r="B78" s="35" t="str">
        <f>All!B34</f>
        <v>$500k</v>
      </c>
      <c r="C78" s="28" t="str">
        <f>All!D34</f>
        <v>Teardown of Syneroid Technologies's $500k Seed deck</v>
      </c>
      <c r="D78" s="35" t="str">
        <f>All!C34</f>
        <v>Seed</v>
      </c>
      <c r="K78" s="3"/>
    </row>
    <row r="79" hidden="1">
      <c r="A79" s="28" t="str">
        <f>All!A46</f>
        <v>Uber</v>
      </c>
      <c r="B79" s="35" t="str">
        <f>All!B46</f>
        <v>$200k</v>
      </c>
      <c r="C79" s="28" t="str">
        <f>All!D46</f>
        <v>Teardown of Uber's $200k Pre-seed deck</v>
      </c>
      <c r="D79" s="35" t="str">
        <f>All!C46</f>
        <v>Pre-seed</v>
      </c>
      <c r="K79" s="3"/>
    </row>
    <row r="80" hidden="1">
      <c r="A80" s="35" t="str">
        <f>All!A56</f>
        <v>The Perfect Pitch Deck</v>
      </c>
      <c r="B80" s="35" t="str">
        <f>All!B56</f>
        <v>$1m</v>
      </c>
      <c r="C80" s="28" t="str">
        <f>All!D56</f>
        <v>Teardown of The Perfect Pitch Deck's $1m Seed deck</v>
      </c>
      <c r="D80" s="35" t="str">
        <f>All!C56</f>
        <v>Seed</v>
      </c>
      <c r="K80" s="3"/>
    </row>
    <row r="81">
      <c r="A81" s="28" t="str">
        <f>All!A22</f>
        <v>Alto Pharmacy</v>
      </c>
      <c r="B81" s="43" t="str">
        <f>All!B22</f>
        <v>$200m</v>
      </c>
      <c r="C81" s="28" t="str">
        <f>All!D22</f>
        <v>Teardown of Alto Pharmacy's $200m Series E deck</v>
      </c>
      <c r="D81" s="43" t="str">
        <f>All!C22</f>
        <v>Series E</v>
      </c>
      <c r="K81" s="3"/>
    </row>
    <row r="82" hidden="1">
      <c r="A82" s="28" t="str">
        <f>All!A18</f>
        <v>Wilco</v>
      </c>
      <c r="B82" s="35" t="str">
        <f>All!B18</f>
        <v>$7m</v>
      </c>
      <c r="C82" s="28" t="str">
        <f>All!D18</f>
        <v>Teardown of Wilco's $7m Seed deck</v>
      </c>
      <c r="D82" s="35" t="str">
        <f>All!C18</f>
        <v>Seed</v>
      </c>
      <c r="K82" s="3"/>
    </row>
    <row r="83">
      <c r="A83" s="28" t="str">
        <f>All!A17</f>
        <v>WayRay</v>
      </c>
      <c r="B83" s="43" t="str">
        <f>All!B17</f>
        <v>$80m</v>
      </c>
      <c r="C83" s="28" t="str">
        <f>All!D17</f>
        <v>Teardown of WayRay's $80m Series E deck</v>
      </c>
      <c r="D83" s="43" t="str">
        <f>All!C17</f>
        <v>Series E</v>
      </c>
      <c r="K83" s="3"/>
    </row>
    <row r="84" hidden="1">
      <c r="A84" s="28" t="str">
        <f>All!A90</f>
        <v>PhageLab</v>
      </c>
      <c r="B84" s="35" t="str">
        <f>All!B90</f>
        <v>$11m</v>
      </c>
      <c r="C84" s="28" t="str">
        <f>All!D90</f>
        <v>Teardown of PhageLab's $11m Series A deck</v>
      </c>
      <c r="D84" s="35" t="str">
        <f>All!C90</f>
        <v>Series A</v>
      </c>
      <c r="K84" s="3"/>
    </row>
    <row r="85" hidden="1">
      <c r="A85" s="28" t="str">
        <f>All!A91</f>
        <v>Xyte</v>
      </c>
      <c r="B85" s="35" t="str">
        <f>All!B91</f>
        <v>$30m</v>
      </c>
      <c r="C85" s="28" t="str">
        <f>All!D91</f>
        <v>Teardown of Xyte's $30m Series A deck</v>
      </c>
      <c r="D85" s="35" t="str">
        <f>All!C91</f>
        <v>Series A</v>
      </c>
      <c r="K85" s="3"/>
    </row>
    <row r="86" hidden="1">
      <c r="A86" s="28" t="str">
        <f>All!A92</f>
        <v>Equals</v>
      </c>
      <c r="B86" s="35" t="str">
        <f>All!B92</f>
        <v>$16m</v>
      </c>
      <c r="C86" s="28" t="str">
        <f>All!D92</f>
        <v>Teardown of Equals's $16m Series A deck</v>
      </c>
      <c r="D86" s="35" t="str">
        <f>All!C92</f>
        <v>Series A</v>
      </c>
      <c r="K86" s="3"/>
    </row>
    <row r="87" hidden="1">
      <c r="A87" s="28" t="str">
        <f>All!A93</f>
        <v>CommandBar</v>
      </c>
      <c r="B87" s="35" t="str">
        <f>All!B93</f>
        <v>$4.8m</v>
      </c>
      <c r="C87" s="28" t="str">
        <f>All!D93</f>
        <v>Teardown of CommandBar's $4.8m Seed deck</v>
      </c>
      <c r="D87" s="35" t="str">
        <f>All!C93</f>
        <v>Seed</v>
      </c>
      <c r="K87" s="3"/>
    </row>
    <row r="88" hidden="1">
      <c r="A88" s="28" t="str">
        <f>All!A94</f>
        <v>Astek Diagnostics</v>
      </c>
      <c r="B88" s="35" t="str">
        <f>All!B94</f>
        <v>$2m</v>
      </c>
      <c r="C88" s="28" t="str">
        <f>All!D94</f>
        <v>Teardown of Astek Diagnostics's $2m Seed deck</v>
      </c>
      <c r="D88" s="35" t="str">
        <f>All!C94</f>
        <v>Seed</v>
      </c>
      <c r="K88" s="3"/>
    </row>
    <row r="89" hidden="1">
      <c r="A89" s="28" t="str">
        <f>All!A95</f>
        <v>SuperScale</v>
      </c>
      <c r="B89" s="35" t="str">
        <f>All!B95</f>
        <v>$4.4m</v>
      </c>
      <c r="C89" s="28" t="str">
        <f>All!D95</f>
        <v>Teardown of SuperScale's $4.4m Series A deck</v>
      </c>
      <c r="D89" s="35" t="str">
        <f>All!C95</f>
        <v>Series A</v>
      </c>
      <c r="K89" s="3"/>
    </row>
    <row r="90" hidden="1">
      <c r="A90" s="28" t="str">
        <f>All!A96</f>
        <v>Protecto</v>
      </c>
      <c r="B90" s="35" t="str">
        <f>All!B96</f>
        <v>$4m</v>
      </c>
      <c r="C90" s="28" t="str">
        <f>All!D96</f>
        <v>Teardown of Protecto's $4m Seed deck</v>
      </c>
      <c r="D90" s="35" t="str">
        <f>All!C96</f>
        <v>Seed</v>
      </c>
      <c r="K90" s="3"/>
    </row>
    <row r="91" hidden="1">
      <c r="A91" s="28" t="str">
        <f>All!A97</f>
        <v>Plantee Innovations</v>
      </c>
      <c r="B91" s="35" t="str">
        <f>All!B97</f>
        <v>$1.4m</v>
      </c>
      <c r="C91" s="28" t="str">
        <f>All!D97</f>
        <v>Teardown of Plantee Innovations's $1.4m Seed deck</v>
      </c>
      <c r="D91" s="35" t="str">
        <f>All!C97</f>
        <v>Seed</v>
      </c>
      <c r="K91" s="3"/>
    </row>
    <row r="92" hidden="1">
      <c r="A92" s="28" t="str">
        <f>All!A98</f>
        <v>Queerie</v>
      </c>
      <c r="B92" s="35" t="str">
        <f>All!B98</f>
        <v>$300k</v>
      </c>
      <c r="C92" s="28" t="str">
        <f>All!D98</f>
        <v>Teardown of Queerie's $300k Pre-seed deck</v>
      </c>
      <c r="D92" s="35" t="str">
        <f>All!C98</f>
        <v>Pre-seed</v>
      </c>
      <c r="K92" s="3"/>
    </row>
    <row r="93" hidden="1">
      <c r="A93" s="28" t="str">
        <f>All!A99</f>
        <v>Xpanceo</v>
      </c>
      <c r="B93" s="35" t="str">
        <f>All!B99</f>
        <v>$40m</v>
      </c>
      <c r="C93" s="28" t="str">
        <f>All!D99</f>
        <v>Teardown of Xpanceo's $40m Seed deck</v>
      </c>
      <c r="D93" s="35" t="str">
        <f>All!C99</f>
        <v>Seed</v>
      </c>
      <c r="K93" s="3"/>
    </row>
    <row r="94" hidden="1">
      <c r="A94" s="28" t="str">
        <f>All!A100</f>
        <v>Geodesic.Life</v>
      </c>
      <c r="B94" s="35" t="str">
        <f>All!B100</f>
        <v>$500k</v>
      </c>
      <c r="C94" s="28" t="str">
        <f>All!D100</f>
        <v>Teardown of Geodesic.Life's $500k Pre-seed deck</v>
      </c>
      <c r="D94" s="35" t="str">
        <f>All!C100</f>
        <v>Pre-seed</v>
      </c>
      <c r="K94" s="3"/>
    </row>
    <row r="95" hidden="1">
      <c r="A95" s="28" t="str">
        <f>All!A101</f>
        <v>NOQX</v>
      </c>
      <c r="B95" s="35" t="str">
        <f>All!B101</f>
        <v>$200k</v>
      </c>
      <c r="C95" s="28" t="str">
        <f>All!D101</f>
        <v>Teardown of NOQX's $200k Pre-seed deck</v>
      </c>
      <c r="D95" s="35" t="str">
        <f>All!C101</f>
        <v>Pre-seed</v>
      </c>
      <c r="K95" s="3"/>
    </row>
    <row r="96" hidden="1">
      <c r="A96" s="28" t="str">
        <f>All!A102</f>
        <v>Cloudsmith</v>
      </c>
      <c r="B96" s="35" t="str">
        <f>All!B102</f>
        <v>$15m</v>
      </c>
      <c r="C96" s="28" t="str">
        <f>All!D102</f>
        <v>Teardown of Cloudsmith's $15m Series A deck</v>
      </c>
      <c r="D96" s="35" t="str">
        <f>All!C102</f>
        <v>Series A</v>
      </c>
      <c r="K96" s="3"/>
    </row>
    <row r="97" hidden="1">
      <c r="A97" s="28" t="str">
        <f>All!A103</f>
        <v>Goodcarbon</v>
      </c>
      <c r="B97" s="35" t="str">
        <f>All!B103</f>
        <v>$5.5m</v>
      </c>
      <c r="C97" s="28" t="str">
        <f>All!D103</f>
        <v>Teardown of Goodcarbon's $5.5m Seed deck</v>
      </c>
      <c r="D97" s="35" t="str">
        <f>All!C103</f>
        <v>Seed</v>
      </c>
      <c r="K97" s="3"/>
    </row>
    <row r="98" hidden="1">
      <c r="A98" s="28" t="str">
        <f>All!A104</f>
        <v>Terra One</v>
      </c>
      <c r="B98" s="35" t="str">
        <f>All!B104</f>
        <v>$7.5m</v>
      </c>
      <c r="C98" s="28" t="str">
        <f>All!D104</f>
        <v>Teardown of Terra One's $7.5m Seed deck</v>
      </c>
      <c r="D98" s="35" t="str">
        <f>All!C104</f>
        <v>Seed</v>
      </c>
      <c r="K98" s="3"/>
    </row>
    <row r="99" hidden="1">
      <c r="A99" s="28" t="str">
        <f>All!A105</f>
        <v>RAW Dating App</v>
      </c>
      <c r="B99" s="35" t="str">
        <f>All!B105</f>
        <v>$3m</v>
      </c>
      <c r="C99" s="28" t="str">
        <f>All!D105</f>
        <v>Teardown of RAW Dating App's $3m Angel deck</v>
      </c>
      <c r="D99" s="35" t="str">
        <f>All!C105</f>
        <v>Angel</v>
      </c>
      <c r="K99" s="3"/>
    </row>
    <row r="100" hidden="1">
      <c r="A100" s="28" t="str">
        <f>All!A106</f>
        <v>Kinnect</v>
      </c>
      <c r="B100" s="35" t="str">
        <f>All!B106</f>
        <v>$250k</v>
      </c>
      <c r="C100" s="28" t="str">
        <f>All!D106</f>
        <v>Teardown of Kinnect's $250k Angel deck</v>
      </c>
      <c r="D100" s="35" t="str">
        <f>All!C106</f>
        <v>Angel</v>
      </c>
      <c r="K100" s="3"/>
    </row>
    <row r="101" hidden="1">
      <c r="A101" s="28" t="str">
        <f>All!A107</f>
        <v>Feel Therapeutics</v>
      </c>
      <c r="B101" s="35" t="str">
        <f>All!B107</f>
        <v>$3.5m</v>
      </c>
      <c r="C101" s="28" t="str">
        <f>All!D107</f>
        <v>Teardown of Feel Therapeutics's $3.5m Seed deck</v>
      </c>
      <c r="D101" s="35" t="str">
        <f>All!C107</f>
        <v>Seed</v>
      </c>
      <c r="K101" s="3"/>
    </row>
    <row r="102" hidden="1">
      <c r="A102" s="28" t="str">
        <f>All!A108</f>
        <v>Megamod</v>
      </c>
      <c r="B102" s="35" t="str">
        <f>All!B108</f>
        <v>$1.9m</v>
      </c>
      <c r="C102" s="28" t="str">
        <f>All!D108</f>
        <v>Teardown of Megamod's $1.9m Seed deck</v>
      </c>
      <c r="D102" s="35" t="str">
        <f>All!C108</f>
        <v>Seed</v>
      </c>
      <c r="K102" s="3"/>
    </row>
    <row r="103" hidden="1">
      <c r="A103" s="35" t="str">
        <f>All!A109</f>
        <v/>
      </c>
      <c r="B103" s="35" t="str">
        <f>All!B109</f>
        <v/>
      </c>
      <c r="C103" s="35" t="str">
        <f>All!D109</f>
        <v/>
      </c>
      <c r="D103" s="35" t="str">
        <f>All!C109</f>
        <v/>
      </c>
      <c r="K103" s="3"/>
    </row>
    <row r="104" hidden="1">
      <c r="A104" s="35" t="str">
        <f>All!A110</f>
        <v/>
      </c>
      <c r="B104" s="35" t="str">
        <f>All!B110</f>
        <v/>
      </c>
      <c r="C104" s="35" t="str">
        <f>All!D110</f>
        <v/>
      </c>
      <c r="D104" s="35" t="str">
        <f>All!C110</f>
        <v/>
      </c>
      <c r="K104" s="3"/>
    </row>
    <row r="105" hidden="1">
      <c r="A105" s="35" t="str">
        <f>All!A111</f>
        <v/>
      </c>
      <c r="B105" s="35" t="str">
        <f>All!B111</f>
        <v/>
      </c>
      <c r="C105" s="35" t="str">
        <f>All!D111</f>
        <v/>
      </c>
      <c r="D105" s="35" t="str">
        <f>All!C111</f>
        <v/>
      </c>
      <c r="K105" s="3"/>
    </row>
    <row r="106" hidden="1">
      <c r="A106" s="35" t="str">
        <f>All!A112</f>
        <v/>
      </c>
      <c r="B106" s="35" t="str">
        <f>All!B112</f>
        <v/>
      </c>
      <c r="C106" s="35" t="str">
        <f>All!D112</f>
        <v/>
      </c>
      <c r="D106" s="35" t="str">
        <f>All!C112</f>
        <v/>
      </c>
      <c r="K106" s="3"/>
    </row>
    <row r="107" hidden="1">
      <c r="A107" s="35" t="str">
        <f>All!A113</f>
        <v/>
      </c>
      <c r="B107" s="35" t="str">
        <f>All!B113</f>
        <v/>
      </c>
      <c r="C107" s="35" t="str">
        <f>All!D113</f>
        <v/>
      </c>
      <c r="D107" s="35" t="str">
        <f>All!C113</f>
        <v/>
      </c>
      <c r="K107" s="3"/>
    </row>
    <row r="108" hidden="1">
      <c r="A108" s="35" t="str">
        <f>All!A114</f>
        <v/>
      </c>
      <c r="B108" s="35" t="str">
        <f>All!B114</f>
        <v/>
      </c>
      <c r="C108" s="35" t="str">
        <f>All!D114</f>
        <v/>
      </c>
      <c r="D108" s="35" t="str">
        <f>All!C114</f>
        <v/>
      </c>
      <c r="K108" s="3"/>
    </row>
    <row r="109" hidden="1">
      <c r="A109" s="35" t="str">
        <f>All!A115</f>
        <v/>
      </c>
      <c r="B109" s="35" t="str">
        <f>All!B115</f>
        <v/>
      </c>
      <c r="C109" s="35" t="str">
        <f>All!D115</f>
        <v/>
      </c>
      <c r="D109" s="35" t="str">
        <f>All!C115</f>
        <v/>
      </c>
      <c r="K109" s="3"/>
    </row>
    <row r="110" hidden="1">
      <c r="A110" s="35" t="str">
        <f>All!A116</f>
        <v/>
      </c>
      <c r="B110" s="35" t="str">
        <f>All!B116</f>
        <v/>
      </c>
      <c r="C110" s="35" t="str">
        <f>All!D116</f>
        <v/>
      </c>
      <c r="D110" s="35" t="str">
        <f>All!C116</f>
        <v/>
      </c>
      <c r="K110" s="3"/>
    </row>
    <row r="111" hidden="1">
      <c r="A111" s="35" t="str">
        <f>All!A117</f>
        <v/>
      </c>
      <c r="B111" s="35" t="str">
        <f>All!B117</f>
        <v/>
      </c>
      <c r="C111" s="35" t="str">
        <f>All!D117</f>
        <v/>
      </c>
      <c r="D111" s="35" t="str">
        <f>All!C117</f>
        <v/>
      </c>
      <c r="K111" s="3"/>
    </row>
    <row r="112" hidden="1">
      <c r="A112" s="35" t="str">
        <f>All!A118</f>
        <v/>
      </c>
      <c r="B112" s="35" t="str">
        <f>All!B118</f>
        <v/>
      </c>
      <c r="C112" s="35" t="str">
        <f>All!D118</f>
        <v/>
      </c>
      <c r="D112" s="35" t="str">
        <f>All!C118</f>
        <v/>
      </c>
      <c r="K112" s="3"/>
    </row>
    <row r="113" hidden="1">
      <c r="A113" s="35" t="str">
        <f>All!A119</f>
        <v/>
      </c>
      <c r="B113" s="35" t="str">
        <f>All!B119</f>
        <v/>
      </c>
      <c r="C113" s="35" t="str">
        <f>All!D119</f>
        <v/>
      </c>
      <c r="D113" s="35" t="str">
        <f>All!C119</f>
        <v/>
      </c>
      <c r="K113" s="3"/>
    </row>
    <row r="114" hidden="1">
      <c r="A114" s="35" t="str">
        <f>All!A120</f>
        <v/>
      </c>
      <c r="B114" s="35" t="str">
        <f>All!B120</f>
        <v/>
      </c>
      <c r="C114" s="35" t="str">
        <f>All!D120</f>
        <v/>
      </c>
      <c r="D114" s="35" t="str">
        <f>All!C120</f>
        <v/>
      </c>
      <c r="K114" s="3"/>
    </row>
    <row r="115" hidden="1">
      <c r="A115" s="35" t="str">
        <f>All!A121</f>
        <v/>
      </c>
      <c r="B115" s="35" t="str">
        <f>All!B121</f>
        <v/>
      </c>
      <c r="C115" s="35" t="str">
        <f>All!D121</f>
        <v/>
      </c>
      <c r="D115" s="35" t="str">
        <f>All!C121</f>
        <v/>
      </c>
      <c r="K115" s="3"/>
    </row>
    <row r="116" hidden="1">
      <c r="A116" s="35" t="str">
        <f>All!A122</f>
        <v/>
      </c>
      <c r="B116" s="35" t="str">
        <f>All!B122</f>
        <v/>
      </c>
      <c r="C116" s="35" t="str">
        <f>All!D122</f>
        <v/>
      </c>
      <c r="D116" s="35" t="str">
        <f>All!C122</f>
        <v/>
      </c>
      <c r="K116" s="3"/>
    </row>
    <row r="117" hidden="1">
      <c r="A117" s="35" t="str">
        <f>All!A123</f>
        <v/>
      </c>
      <c r="B117" s="35" t="str">
        <f>All!B123</f>
        <v/>
      </c>
      <c r="C117" s="35" t="str">
        <f>All!D123</f>
        <v/>
      </c>
      <c r="D117" s="35" t="str">
        <f>All!C123</f>
        <v/>
      </c>
      <c r="K117" s="3"/>
    </row>
    <row r="118" hidden="1">
      <c r="A118" s="35" t="str">
        <f>All!A124</f>
        <v/>
      </c>
      <c r="B118" s="35" t="str">
        <f>All!B124</f>
        <v/>
      </c>
      <c r="C118" s="35" t="str">
        <f>All!D124</f>
        <v/>
      </c>
      <c r="D118" s="35" t="str">
        <f>All!C124</f>
        <v/>
      </c>
      <c r="K118" s="3"/>
    </row>
    <row r="119" hidden="1">
      <c r="A119" s="35" t="str">
        <f>All!A125</f>
        <v/>
      </c>
      <c r="B119" s="35" t="str">
        <f>All!B125</f>
        <v/>
      </c>
      <c r="C119" s="35" t="str">
        <f>All!D125</f>
        <v/>
      </c>
      <c r="D119" s="35" t="str">
        <f>All!C125</f>
        <v/>
      </c>
      <c r="K119" s="3"/>
    </row>
    <row r="120" hidden="1">
      <c r="A120" s="35" t="str">
        <f>All!A126</f>
        <v/>
      </c>
      <c r="B120" s="35" t="str">
        <f>All!B126</f>
        <v/>
      </c>
      <c r="C120" s="35" t="str">
        <f>All!D126</f>
        <v/>
      </c>
      <c r="D120" s="35" t="str">
        <f>All!C126</f>
        <v/>
      </c>
      <c r="K120" s="3"/>
    </row>
    <row r="121" hidden="1">
      <c r="A121" s="35" t="str">
        <f>All!A127</f>
        <v/>
      </c>
      <c r="B121" s="35" t="str">
        <f>All!B127</f>
        <v/>
      </c>
      <c r="C121" s="35" t="str">
        <f>All!D127</f>
        <v/>
      </c>
      <c r="D121" s="35" t="str">
        <f>All!C127</f>
        <v/>
      </c>
      <c r="K121" s="3"/>
    </row>
    <row r="122" hidden="1">
      <c r="A122" s="35" t="str">
        <f>All!A128</f>
        <v/>
      </c>
      <c r="B122" s="35" t="str">
        <f>All!B128</f>
        <v/>
      </c>
      <c r="C122" s="35" t="str">
        <f>All!D128</f>
        <v/>
      </c>
      <c r="D122" s="35" t="str">
        <f>All!C128</f>
        <v/>
      </c>
      <c r="K122" s="3"/>
    </row>
    <row r="123" hidden="1">
      <c r="A123" s="35" t="str">
        <f>All!A129</f>
        <v/>
      </c>
      <c r="B123" s="35" t="str">
        <f>All!B129</f>
        <v/>
      </c>
      <c r="C123" s="35" t="str">
        <f>All!D129</f>
        <v/>
      </c>
      <c r="D123" s="35" t="str">
        <f>All!C129</f>
        <v/>
      </c>
      <c r="K123" s="3"/>
    </row>
    <row r="124" hidden="1">
      <c r="A124" s="35" t="str">
        <f>All!A130</f>
        <v/>
      </c>
      <c r="B124" s="35" t="str">
        <f>All!B130</f>
        <v/>
      </c>
      <c r="C124" s="35" t="str">
        <f>All!D130</f>
        <v/>
      </c>
      <c r="D124" s="35" t="str">
        <f>All!C130</f>
        <v/>
      </c>
      <c r="K124" s="3"/>
    </row>
    <row r="125" hidden="1">
      <c r="A125" s="35" t="str">
        <f>All!A131</f>
        <v/>
      </c>
      <c r="B125" s="35" t="str">
        <f>All!B131</f>
        <v/>
      </c>
      <c r="C125" s="35" t="str">
        <f>All!D131</f>
        <v/>
      </c>
      <c r="D125" s="35" t="str">
        <f>All!C131</f>
        <v/>
      </c>
      <c r="K125" s="3"/>
    </row>
    <row r="126" hidden="1">
      <c r="A126" s="35" t="str">
        <f>All!A132</f>
        <v/>
      </c>
      <c r="B126" s="35" t="str">
        <f>All!B132</f>
        <v/>
      </c>
      <c r="C126" s="35" t="str">
        <f>All!D132</f>
        <v/>
      </c>
      <c r="D126" s="35" t="str">
        <f>All!C132</f>
        <v/>
      </c>
      <c r="K126" s="3"/>
    </row>
    <row r="127" hidden="1">
      <c r="A127" s="35" t="str">
        <f>All!A133</f>
        <v/>
      </c>
      <c r="B127" s="35" t="str">
        <f>All!B133</f>
        <v/>
      </c>
      <c r="C127" s="35" t="str">
        <f>All!D133</f>
        <v/>
      </c>
      <c r="D127" s="35" t="str">
        <f>All!C133</f>
        <v/>
      </c>
      <c r="K127" s="3"/>
    </row>
    <row r="128" hidden="1">
      <c r="A128" s="35" t="str">
        <f>All!A134</f>
        <v/>
      </c>
      <c r="B128" s="35" t="str">
        <f>All!B134</f>
        <v/>
      </c>
      <c r="C128" s="35" t="str">
        <f>All!D134</f>
        <v/>
      </c>
      <c r="D128" s="35" t="str">
        <f>All!C134</f>
        <v/>
      </c>
      <c r="K128" s="3"/>
    </row>
    <row r="129" hidden="1">
      <c r="A129" s="35" t="str">
        <f>All!A135</f>
        <v/>
      </c>
      <c r="B129" s="35" t="str">
        <f>All!B135</f>
        <v/>
      </c>
      <c r="C129" s="35" t="str">
        <f>All!D135</f>
        <v/>
      </c>
      <c r="D129" s="35" t="str">
        <f>All!C135</f>
        <v/>
      </c>
      <c r="K129" s="3"/>
    </row>
    <row r="130" hidden="1">
      <c r="A130" s="35" t="str">
        <f>All!A136</f>
        <v/>
      </c>
      <c r="B130" s="35" t="str">
        <f>All!B136</f>
        <v/>
      </c>
      <c r="C130" s="35" t="str">
        <f>All!D136</f>
        <v/>
      </c>
      <c r="D130" s="35" t="str">
        <f>All!C136</f>
        <v/>
      </c>
      <c r="K130" s="3"/>
    </row>
    <row r="131" hidden="1">
      <c r="A131" s="35" t="str">
        <f>All!A137</f>
        <v/>
      </c>
      <c r="B131" s="35" t="str">
        <f>All!B137</f>
        <v/>
      </c>
      <c r="C131" s="35" t="str">
        <f>All!D137</f>
        <v/>
      </c>
      <c r="D131" s="35" t="str">
        <f>All!C137</f>
        <v/>
      </c>
      <c r="K131" s="3"/>
    </row>
    <row r="132" hidden="1">
      <c r="A132" s="35" t="str">
        <f>All!A138</f>
        <v/>
      </c>
      <c r="B132" s="35" t="str">
        <f>All!B138</f>
        <v/>
      </c>
      <c r="C132" s="35" t="str">
        <f>All!D138</f>
        <v/>
      </c>
      <c r="D132" s="35" t="str">
        <f>All!C138</f>
        <v/>
      </c>
      <c r="K132" s="3"/>
    </row>
    <row r="133" hidden="1">
      <c r="A133" s="35" t="str">
        <f>All!A139</f>
        <v/>
      </c>
      <c r="B133" s="35" t="str">
        <f>All!B139</f>
        <v/>
      </c>
      <c r="C133" s="35" t="str">
        <f>All!D139</f>
        <v/>
      </c>
      <c r="D133" s="35" t="str">
        <f>All!C139</f>
        <v/>
      </c>
      <c r="K133" s="3"/>
    </row>
    <row r="134" hidden="1">
      <c r="A134" s="35" t="str">
        <f>All!A140</f>
        <v/>
      </c>
      <c r="B134" s="35" t="str">
        <f>All!B140</f>
        <v/>
      </c>
      <c r="C134" s="35" t="str">
        <f>All!D140</f>
        <v/>
      </c>
      <c r="D134" s="35" t="str">
        <f>All!C140</f>
        <v/>
      </c>
      <c r="K134" s="3"/>
    </row>
    <row r="135" hidden="1">
      <c r="A135" s="35" t="str">
        <f>All!A141</f>
        <v/>
      </c>
      <c r="B135" s="35" t="str">
        <f>All!B141</f>
        <v/>
      </c>
      <c r="C135" s="35" t="str">
        <f>All!D141</f>
        <v/>
      </c>
      <c r="D135" s="35" t="str">
        <f>All!C141</f>
        <v/>
      </c>
      <c r="K135" s="3"/>
    </row>
    <row r="136" hidden="1">
      <c r="A136" s="35" t="str">
        <f>All!A142</f>
        <v/>
      </c>
      <c r="B136" s="35" t="str">
        <f>All!B142</f>
        <v/>
      </c>
      <c r="C136" s="35" t="str">
        <f>All!D142</f>
        <v/>
      </c>
      <c r="D136" s="35" t="str">
        <f>All!C142</f>
        <v/>
      </c>
      <c r="K136" s="3"/>
    </row>
    <row r="137" hidden="1">
      <c r="A137" s="35" t="str">
        <f>All!A143</f>
        <v/>
      </c>
      <c r="B137" s="35" t="str">
        <f>All!B143</f>
        <v/>
      </c>
      <c r="C137" s="35" t="str">
        <f>All!D143</f>
        <v/>
      </c>
      <c r="D137" s="35" t="str">
        <f>All!C143</f>
        <v/>
      </c>
      <c r="K137" s="3"/>
    </row>
    <row r="138" hidden="1">
      <c r="A138" s="35" t="str">
        <f>All!A144</f>
        <v/>
      </c>
      <c r="B138" s="35" t="str">
        <f>All!B144</f>
        <v/>
      </c>
      <c r="C138" s="35" t="str">
        <f>All!D144</f>
        <v/>
      </c>
      <c r="D138" s="35" t="str">
        <f>All!C144</f>
        <v/>
      </c>
      <c r="K138" s="3"/>
    </row>
    <row r="139" hidden="1">
      <c r="A139" s="35" t="str">
        <f>All!A145</f>
        <v/>
      </c>
      <c r="B139" s="35" t="str">
        <f>All!B145</f>
        <v/>
      </c>
      <c r="C139" s="35" t="str">
        <f>All!D145</f>
        <v/>
      </c>
      <c r="D139" s="35" t="str">
        <f>All!C145</f>
        <v/>
      </c>
      <c r="K139" s="3"/>
    </row>
    <row r="140" hidden="1">
      <c r="A140" s="35" t="str">
        <f>All!A146</f>
        <v/>
      </c>
      <c r="B140" s="35" t="str">
        <f>All!B146</f>
        <v/>
      </c>
      <c r="C140" s="35" t="str">
        <f>All!D146</f>
        <v/>
      </c>
      <c r="D140" s="35" t="str">
        <f>All!C146</f>
        <v/>
      </c>
      <c r="K140" s="3"/>
    </row>
    <row r="141" hidden="1">
      <c r="A141" s="35" t="str">
        <f>All!A147</f>
        <v/>
      </c>
      <c r="B141" s="35" t="str">
        <f>All!B147</f>
        <v/>
      </c>
      <c r="C141" s="35" t="str">
        <f>All!D147</f>
        <v/>
      </c>
      <c r="D141" s="35" t="str">
        <f>All!C147</f>
        <v/>
      </c>
      <c r="K141" s="3"/>
    </row>
    <row r="142" hidden="1">
      <c r="A142" s="35" t="str">
        <f>All!A148</f>
        <v/>
      </c>
      <c r="B142" s="35" t="str">
        <f>All!B148</f>
        <v/>
      </c>
      <c r="C142" s="35" t="str">
        <f>All!D148</f>
        <v/>
      </c>
      <c r="D142" s="35" t="str">
        <f>All!C148</f>
        <v/>
      </c>
      <c r="K142" s="3"/>
    </row>
    <row r="143" hidden="1">
      <c r="A143" s="35" t="str">
        <f>All!A149</f>
        <v/>
      </c>
      <c r="B143" s="35" t="str">
        <f>All!B149</f>
        <v/>
      </c>
      <c r="C143" s="35" t="str">
        <f>All!D149</f>
        <v/>
      </c>
      <c r="D143" s="35" t="str">
        <f>All!C149</f>
        <v/>
      </c>
      <c r="K143" s="3"/>
    </row>
    <row r="144" hidden="1">
      <c r="A144" s="35" t="str">
        <f>All!A150</f>
        <v/>
      </c>
      <c r="B144" s="35" t="str">
        <f>All!B150</f>
        <v/>
      </c>
      <c r="C144" s="35" t="str">
        <f>All!D150</f>
        <v/>
      </c>
      <c r="D144" s="35" t="str">
        <f>All!C150</f>
        <v/>
      </c>
      <c r="K144" s="3"/>
    </row>
    <row r="145" hidden="1">
      <c r="A145" s="35" t="str">
        <f>All!A151</f>
        <v/>
      </c>
      <c r="B145" s="35" t="str">
        <f>All!B151</f>
        <v/>
      </c>
      <c r="C145" s="35" t="str">
        <f>All!D151</f>
        <v/>
      </c>
      <c r="D145" s="35" t="str">
        <f>All!C151</f>
        <v/>
      </c>
      <c r="K145" s="3"/>
    </row>
    <row r="146" hidden="1">
      <c r="A146" s="35" t="str">
        <f>All!A152</f>
        <v/>
      </c>
      <c r="B146" s="35" t="str">
        <f>All!B152</f>
        <v/>
      </c>
      <c r="C146" s="35" t="str">
        <f>All!D152</f>
        <v/>
      </c>
      <c r="D146" s="35" t="str">
        <f>All!C152</f>
        <v/>
      </c>
      <c r="K146" s="3"/>
    </row>
    <row r="147" hidden="1">
      <c r="A147" s="35" t="str">
        <f>All!A153</f>
        <v/>
      </c>
      <c r="B147" s="35" t="str">
        <f>All!B153</f>
        <v/>
      </c>
      <c r="C147" s="35" t="str">
        <f>All!D153</f>
        <v/>
      </c>
      <c r="D147" s="35" t="str">
        <f>All!C153</f>
        <v/>
      </c>
      <c r="K147" s="3"/>
    </row>
    <row r="148" hidden="1">
      <c r="A148" s="35" t="str">
        <f>All!A154</f>
        <v/>
      </c>
      <c r="B148" s="35" t="str">
        <f>All!B154</f>
        <v/>
      </c>
      <c r="C148" s="35" t="str">
        <f>All!D154</f>
        <v/>
      </c>
      <c r="D148" s="35" t="str">
        <f>All!C154</f>
        <v/>
      </c>
      <c r="K148" s="3"/>
    </row>
    <row r="149" hidden="1">
      <c r="A149" s="35" t="str">
        <f>All!A155</f>
        <v/>
      </c>
      <c r="B149" s="35" t="str">
        <f>All!B155</f>
        <v/>
      </c>
      <c r="C149" s="35" t="str">
        <f>All!D155</f>
        <v/>
      </c>
      <c r="D149" s="35" t="str">
        <f>All!C155</f>
        <v/>
      </c>
      <c r="K149" s="3"/>
    </row>
    <row r="150" hidden="1">
      <c r="A150" s="35" t="str">
        <f>All!A156</f>
        <v/>
      </c>
      <c r="B150" s="35" t="str">
        <f>All!B156</f>
        <v/>
      </c>
      <c r="C150" s="35" t="str">
        <f>All!D156</f>
        <v/>
      </c>
      <c r="D150" s="35" t="str">
        <f>All!C156</f>
        <v/>
      </c>
      <c r="K150" s="3"/>
    </row>
    <row r="151" hidden="1">
      <c r="A151" s="35" t="str">
        <f>All!A157</f>
        <v/>
      </c>
      <c r="B151" s="35" t="str">
        <f>All!B157</f>
        <v/>
      </c>
      <c r="C151" s="35" t="str">
        <f>All!D157</f>
        <v/>
      </c>
      <c r="D151" s="35" t="str">
        <f>All!C157</f>
        <v/>
      </c>
      <c r="K151" s="3"/>
    </row>
    <row r="152" hidden="1">
      <c r="A152" s="35" t="str">
        <f>All!A158</f>
        <v/>
      </c>
      <c r="B152" s="35" t="str">
        <f>All!B158</f>
        <v/>
      </c>
      <c r="C152" s="35" t="str">
        <f>All!D158</f>
        <v/>
      </c>
      <c r="D152" s="35" t="str">
        <f>All!C158</f>
        <v/>
      </c>
      <c r="K152" s="3"/>
    </row>
    <row r="153" hidden="1">
      <c r="A153" s="35" t="str">
        <f>All!A159</f>
        <v/>
      </c>
      <c r="B153" s="35" t="str">
        <f>All!B159</f>
        <v/>
      </c>
      <c r="C153" s="35" t="str">
        <f>All!D159</f>
        <v/>
      </c>
      <c r="D153" s="35" t="str">
        <f>All!C159</f>
        <v/>
      </c>
      <c r="K153" s="3"/>
    </row>
    <row r="154" hidden="1">
      <c r="A154" s="35" t="str">
        <f>All!A160</f>
        <v/>
      </c>
      <c r="B154" s="35" t="str">
        <f>All!B160</f>
        <v/>
      </c>
      <c r="C154" s="35" t="str">
        <f>All!D160</f>
        <v/>
      </c>
      <c r="D154" s="35" t="str">
        <f>All!C160</f>
        <v/>
      </c>
      <c r="K154" s="3"/>
    </row>
    <row r="155" hidden="1">
      <c r="A155" s="35" t="str">
        <f>All!A161</f>
        <v/>
      </c>
      <c r="B155" s="35" t="str">
        <f>All!B161</f>
        <v/>
      </c>
      <c r="C155" s="35" t="str">
        <f>All!D161</f>
        <v/>
      </c>
      <c r="D155" s="35" t="str">
        <f>All!C161</f>
        <v/>
      </c>
      <c r="K155" s="3"/>
    </row>
    <row r="156" hidden="1">
      <c r="A156" s="35" t="str">
        <f>All!A162</f>
        <v/>
      </c>
      <c r="B156" s="35" t="str">
        <f>All!B162</f>
        <v/>
      </c>
      <c r="C156" s="35" t="str">
        <f>All!D162</f>
        <v/>
      </c>
      <c r="D156" s="35" t="str">
        <f>All!C162</f>
        <v/>
      </c>
      <c r="K156" s="3"/>
    </row>
    <row r="157" hidden="1">
      <c r="A157" s="35" t="str">
        <f>All!A163</f>
        <v/>
      </c>
      <c r="B157" s="35" t="str">
        <f>All!B163</f>
        <v/>
      </c>
      <c r="C157" s="35" t="str">
        <f>All!D163</f>
        <v/>
      </c>
      <c r="D157" s="35" t="str">
        <f>All!C163</f>
        <v/>
      </c>
      <c r="K157" s="3"/>
    </row>
    <row r="158" hidden="1">
      <c r="A158" s="35" t="str">
        <f>All!A164</f>
        <v/>
      </c>
      <c r="B158" s="35" t="str">
        <f>All!B164</f>
        <v/>
      </c>
      <c r="C158" s="35" t="str">
        <f>All!D164</f>
        <v/>
      </c>
      <c r="D158" s="35" t="str">
        <f>All!C164</f>
        <v/>
      </c>
      <c r="K158" s="3"/>
    </row>
    <row r="159" hidden="1">
      <c r="A159" s="35" t="str">
        <f>All!A165</f>
        <v/>
      </c>
      <c r="B159" s="35" t="str">
        <f>All!B165</f>
        <v/>
      </c>
      <c r="C159" s="35" t="str">
        <f>All!D165</f>
        <v/>
      </c>
      <c r="D159" s="35" t="str">
        <f>All!C165</f>
        <v/>
      </c>
      <c r="K159" s="3"/>
    </row>
    <row r="160" hidden="1">
      <c r="A160" s="35" t="str">
        <f>All!A166</f>
        <v/>
      </c>
      <c r="B160" s="35" t="str">
        <f>All!B166</f>
        <v/>
      </c>
      <c r="C160" s="35" t="str">
        <f>All!D166</f>
        <v/>
      </c>
      <c r="D160" s="35" t="str">
        <f>All!C166</f>
        <v/>
      </c>
      <c r="K160" s="3"/>
    </row>
    <row r="161" hidden="1">
      <c r="A161" s="35" t="str">
        <f>All!A167</f>
        <v/>
      </c>
      <c r="B161" s="35" t="str">
        <f>All!B167</f>
        <v/>
      </c>
      <c r="C161" s="35" t="str">
        <f>All!D167</f>
        <v/>
      </c>
      <c r="D161" s="35" t="str">
        <f>All!C167</f>
        <v/>
      </c>
      <c r="K161" s="3"/>
    </row>
    <row r="162" hidden="1">
      <c r="A162" s="35" t="str">
        <f>All!A168</f>
        <v/>
      </c>
      <c r="B162" s="35" t="str">
        <f>All!B168</f>
        <v/>
      </c>
      <c r="C162" s="35" t="str">
        <f>All!D168</f>
        <v/>
      </c>
      <c r="D162" s="35" t="str">
        <f>All!C168</f>
        <v/>
      </c>
      <c r="K162" s="3"/>
    </row>
    <row r="163" hidden="1">
      <c r="A163" s="35" t="str">
        <f>All!A169</f>
        <v/>
      </c>
      <c r="B163" s="35" t="str">
        <f>All!B169</f>
        <v/>
      </c>
      <c r="C163" s="35" t="str">
        <f>All!D169</f>
        <v/>
      </c>
      <c r="D163" s="35" t="str">
        <f>All!C169</f>
        <v/>
      </c>
      <c r="K163" s="3"/>
    </row>
    <row r="164" hidden="1">
      <c r="A164" s="35" t="str">
        <f>All!A170</f>
        <v/>
      </c>
      <c r="B164" s="35" t="str">
        <f>All!B170</f>
        <v/>
      </c>
      <c r="C164" s="35" t="str">
        <f>All!D170</f>
        <v/>
      </c>
      <c r="D164" s="35" t="str">
        <f>All!C170</f>
        <v/>
      </c>
      <c r="K164" s="3"/>
    </row>
    <row r="165" hidden="1">
      <c r="A165" s="35" t="str">
        <f>All!A171</f>
        <v/>
      </c>
      <c r="B165" s="35" t="str">
        <f>All!B171</f>
        <v/>
      </c>
      <c r="C165" s="35" t="str">
        <f>All!D171</f>
        <v/>
      </c>
      <c r="D165" s="35" t="str">
        <f>All!C171</f>
        <v/>
      </c>
      <c r="K165" s="3"/>
    </row>
    <row r="166" hidden="1">
      <c r="A166" s="35" t="str">
        <f>All!A172</f>
        <v/>
      </c>
      <c r="B166" s="35" t="str">
        <f>All!B172</f>
        <v/>
      </c>
      <c r="C166" s="35" t="str">
        <f>All!D172</f>
        <v/>
      </c>
      <c r="D166" s="35" t="str">
        <f>All!C172</f>
        <v/>
      </c>
      <c r="K166" s="3"/>
    </row>
    <row r="167" hidden="1">
      <c r="A167" s="35" t="str">
        <f>All!A173</f>
        <v/>
      </c>
      <c r="B167" s="35" t="str">
        <f>All!B173</f>
        <v/>
      </c>
      <c r="C167" s="35" t="str">
        <f>All!D173</f>
        <v/>
      </c>
      <c r="D167" s="35" t="str">
        <f>All!C173</f>
        <v/>
      </c>
      <c r="K167" s="3"/>
    </row>
    <row r="168" hidden="1">
      <c r="A168" s="35" t="str">
        <f>All!A174</f>
        <v/>
      </c>
      <c r="B168" s="35" t="str">
        <f>All!B174</f>
        <v/>
      </c>
      <c r="C168" s="35" t="str">
        <f>All!D174</f>
        <v/>
      </c>
      <c r="D168" s="35" t="str">
        <f>All!C174</f>
        <v/>
      </c>
      <c r="K168" s="3"/>
    </row>
    <row r="169" hidden="1">
      <c r="A169" s="35" t="str">
        <f>All!A175</f>
        <v/>
      </c>
      <c r="B169" s="35" t="str">
        <f>All!B175</f>
        <v/>
      </c>
      <c r="C169" s="35" t="str">
        <f>All!D175</f>
        <v/>
      </c>
      <c r="D169" s="35" t="str">
        <f>All!C175</f>
        <v/>
      </c>
      <c r="K169" s="3"/>
    </row>
    <row r="170" hidden="1">
      <c r="A170" s="35" t="str">
        <f>All!A176</f>
        <v/>
      </c>
      <c r="B170" s="35" t="str">
        <f>All!B176</f>
        <v/>
      </c>
      <c r="C170" s="35" t="str">
        <f>All!D176</f>
        <v/>
      </c>
      <c r="D170" s="35" t="str">
        <f>All!C176</f>
        <v/>
      </c>
      <c r="K170" s="3"/>
    </row>
    <row r="171" hidden="1">
      <c r="A171" s="35" t="str">
        <f>All!A177</f>
        <v/>
      </c>
      <c r="B171" s="35" t="str">
        <f>All!B177</f>
        <v/>
      </c>
      <c r="C171" s="35" t="str">
        <f>All!D177</f>
        <v/>
      </c>
      <c r="D171" s="35" t="str">
        <f>All!C177</f>
        <v/>
      </c>
      <c r="K171" s="3"/>
    </row>
    <row r="172" hidden="1">
      <c r="A172" s="35" t="str">
        <f>All!A178</f>
        <v/>
      </c>
      <c r="B172" s="35" t="str">
        <f>All!B178</f>
        <v/>
      </c>
      <c r="C172" s="35" t="str">
        <f>All!D178</f>
        <v/>
      </c>
      <c r="D172" s="35" t="str">
        <f>All!C178</f>
        <v/>
      </c>
      <c r="K172" s="3"/>
    </row>
    <row r="173" hidden="1">
      <c r="A173" s="35" t="str">
        <f>All!A179</f>
        <v/>
      </c>
      <c r="B173" s="35" t="str">
        <f>All!B179</f>
        <v/>
      </c>
      <c r="C173" s="35" t="str">
        <f>All!D179</f>
        <v/>
      </c>
      <c r="D173" s="35" t="str">
        <f>All!C179</f>
        <v/>
      </c>
      <c r="K173" s="3"/>
    </row>
    <row r="174" hidden="1">
      <c r="A174" s="35" t="str">
        <f>All!A180</f>
        <v/>
      </c>
      <c r="B174" s="35" t="str">
        <f>All!B180</f>
        <v/>
      </c>
      <c r="C174" s="35" t="str">
        <f>All!D180</f>
        <v/>
      </c>
      <c r="D174" s="35" t="str">
        <f>All!C180</f>
        <v/>
      </c>
      <c r="K174" s="3"/>
    </row>
    <row r="175" hidden="1">
      <c r="A175" s="35" t="str">
        <f>All!A181</f>
        <v/>
      </c>
      <c r="B175" s="35" t="str">
        <f>All!B181</f>
        <v/>
      </c>
      <c r="C175" s="35" t="str">
        <f>All!D181</f>
        <v/>
      </c>
      <c r="D175" s="35" t="str">
        <f>All!C181</f>
        <v/>
      </c>
      <c r="K175" s="3"/>
    </row>
    <row r="176" hidden="1">
      <c r="A176" s="35" t="str">
        <f>All!A182</f>
        <v/>
      </c>
      <c r="B176" s="35" t="str">
        <f>All!B182</f>
        <v/>
      </c>
      <c r="C176" s="35" t="str">
        <f>All!D182</f>
        <v/>
      </c>
      <c r="D176" s="35" t="str">
        <f>All!C182</f>
        <v/>
      </c>
      <c r="K176" s="3"/>
    </row>
    <row r="177" hidden="1">
      <c r="A177" s="35" t="str">
        <f>All!A183</f>
        <v/>
      </c>
      <c r="B177" s="35" t="str">
        <f>All!B183</f>
        <v/>
      </c>
      <c r="C177" s="35" t="str">
        <f>All!D183</f>
        <v/>
      </c>
      <c r="D177" s="35" t="str">
        <f>All!C183</f>
        <v/>
      </c>
      <c r="K177" s="3"/>
    </row>
    <row r="178" hidden="1">
      <c r="A178" s="35" t="str">
        <f>All!A184</f>
        <v/>
      </c>
      <c r="B178" s="35" t="str">
        <f>All!B184</f>
        <v/>
      </c>
      <c r="C178" s="35" t="str">
        <f>All!D184</f>
        <v/>
      </c>
      <c r="D178" s="35" t="str">
        <f>All!C184</f>
        <v/>
      </c>
      <c r="K178" s="3"/>
    </row>
    <row r="179" hidden="1">
      <c r="A179" s="35" t="str">
        <f>All!A185</f>
        <v/>
      </c>
      <c r="B179" s="35" t="str">
        <f>All!B185</f>
        <v/>
      </c>
      <c r="C179" s="35" t="str">
        <f>All!D185</f>
        <v/>
      </c>
      <c r="D179" s="35" t="str">
        <f>All!C185</f>
        <v/>
      </c>
      <c r="K179" s="3"/>
    </row>
    <row r="180" hidden="1">
      <c r="A180" s="35" t="str">
        <f>All!A186</f>
        <v/>
      </c>
      <c r="B180" s="35" t="str">
        <f>All!B186</f>
        <v/>
      </c>
      <c r="C180" s="35" t="str">
        <f>All!D186</f>
        <v/>
      </c>
      <c r="D180" s="35" t="str">
        <f>All!C186</f>
        <v/>
      </c>
      <c r="K180" s="3"/>
    </row>
    <row r="181" hidden="1">
      <c r="A181" s="35" t="str">
        <f>All!A187</f>
        <v/>
      </c>
      <c r="B181" s="35" t="str">
        <f>All!B187</f>
        <v/>
      </c>
      <c r="C181" s="35" t="str">
        <f>All!D187</f>
        <v/>
      </c>
      <c r="D181" s="35" t="str">
        <f>All!C187</f>
        <v/>
      </c>
      <c r="K181" s="3"/>
    </row>
    <row r="182" hidden="1">
      <c r="A182" s="35" t="str">
        <f>All!A188</f>
        <v/>
      </c>
      <c r="B182" s="35" t="str">
        <f>All!B188</f>
        <v/>
      </c>
      <c r="C182" s="35" t="str">
        <f>All!D188</f>
        <v/>
      </c>
      <c r="D182" s="35" t="str">
        <f>All!C188</f>
        <v/>
      </c>
      <c r="K182" s="3"/>
    </row>
    <row r="183" hidden="1">
      <c r="A183" s="35" t="str">
        <f>All!A189</f>
        <v/>
      </c>
      <c r="B183" s="35" t="str">
        <f>All!B189</f>
        <v/>
      </c>
      <c r="C183" s="35" t="str">
        <f>All!D189</f>
        <v/>
      </c>
      <c r="D183" s="35" t="str">
        <f>All!C189</f>
        <v/>
      </c>
      <c r="K183" s="3"/>
    </row>
    <row r="184" hidden="1">
      <c r="A184" s="35" t="str">
        <f>All!A190</f>
        <v/>
      </c>
      <c r="B184" s="35" t="str">
        <f>All!B190</f>
        <v/>
      </c>
      <c r="C184" s="35" t="str">
        <f>All!D190</f>
        <v/>
      </c>
      <c r="D184" s="35" t="str">
        <f>All!C190</f>
        <v/>
      </c>
      <c r="K184" s="3"/>
    </row>
    <row r="185" hidden="1">
      <c r="A185" s="35" t="str">
        <f>All!A191</f>
        <v/>
      </c>
      <c r="B185" s="35" t="str">
        <f>All!B191</f>
        <v/>
      </c>
      <c r="C185" s="35" t="str">
        <f>All!D191</f>
        <v/>
      </c>
      <c r="D185" s="35" t="str">
        <f>All!C191</f>
        <v/>
      </c>
      <c r="K185" s="3"/>
    </row>
    <row r="186" hidden="1">
      <c r="A186" s="35" t="str">
        <f>All!A192</f>
        <v/>
      </c>
      <c r="B186" s="35" t="str">
        <f>All!B192</f>
        <v/>
      </c>
      <c r="C186" s="35" t="str">
        <f>All!D192</f>
        <v/>
      </c>
      <c r="D186" s="35" t="str">
        <f>All!C192</f>
        <v/>
      </c>
      <c r="K186" s="3"/>
    </row>
    <row r="187" hidden="1">
      <c r="A187" s="35" t="str">
        <f>All!A193</f>
        <v/>
      </c>
      <c r="B187" s="35" t="str">
        <f>All!B193</f>
        <v/>
      </c>
      <c r="C187" s="35" t="str">
        <f>All!D193</f>
        <v/>
      </c>
      <c r="D187" s="35" t="str">
        <f>All!C193</f>
        <v/>
      </c>
      <c r="K187" s="3"/>
    </row>
    <row r="188" hidden="1">
      <c r="A188" s="35" t="str">
        <f>All!A194</f>
        <v/>
      </c>
      <c r="B188" s="35" t="str">
        <f>All!B194</f>
        <v/>
      </c>
      <c r="C188" s="35" t="str">
        <f>All!D194</f>
        <v/>
      </c>
      <c r="D188" s="35" t="str">
        <f>All!C194</f>
        <v/>
      </c>
      <c r="K188" s="3"/>
    </row>
    <row r="189" hidden="1">
      <c r="A189" s="35" t="str">
        <f>All!A195</f>
        <v/>
      </c>
      <c r="B189" s="35" t="str">
        <f>All!B195</f>
        <v/>
      </c>
      <c r="C189" s="35" t="str">
        <f>All!D195</f>
        <v/>
      </c>
      <c r="D189" s="35" t="str">
        <f>All!C195</f>
        <v/>
      </c>
      <c r="K189" s="3"/>
    </row>
    <row r="190" hidden="1">
      <c r="A190" s="35" t="str">
        <f>All!A196</f>
        <v/>
      </c>
      <c r="B190" s="35" t="str">
        <f>All!B196</f>
        <v/>
      </c>
      <c r="C190" s="35" t="str">
        <f>All!D196</f>
        <v/>
      </c>
      <c r="D190" s="35" t="str">
        <f>All!C196</f>
        <v/>
      </c>
      <c r="K190" s="3"/>
    </row>
    <row r="191" hidden="1">
      <c r="A191" s="35" t="str">
        <f>All!A197</f>
        <v/>
      </c>
      <c r="B191" s="35" t="str">
        <f>All!B197</f>
        <v/>
      </c>
      <c r="C191" s="35" t="str">
        <f>All!D197</f>
        <v/>
      </c>
      <c r="D191" s="35" t="str">
        <f>All!C197</f>
        <v/>
      </c>
      <c r="K191" s="3"/>
    </row>
    <row r="192" hidden="1">
      <c r="A192" s="35" t="str">
        <f>All!A198</f>
        <v/>
      </c>
      <c r="B192" s="35" t="str">
        <f>All!B198</f>
        <v/>
      </c>
      <c r="C192" s="35" t="str">
        <f>All!D198</f>
        <v/>
      </c>
      <c r="D192" s="35" t="str">
        <f>All!C198</f>
        <v/>
      </c>
      <c r="K192" s="3"/>
    </row>
    <row r="193" hidden="1">
      <c r="A193" s="35" t="str">
        <f>All!A199</f>
        <v/>
      </c>
      <c r="B193" s="35" t="str">
        <f>All!B199</f>
        <v/>
      </c>
      <c r="C193" s="35" t="str">
        <f>All!D199</f>
        <v/>
      </c>
      <c r="D193" s="35" t="str">
        <f>All!C199</f>
        <v/>
      </c>
      <c r="K193" s="3"/>
    </row>
    <row r="194" hidden="1">
      <c r="A194" s="35" t="str">
        <f>All!A200</f>
        <v/>
      </c>
      <c r="B194" s="35" t="str">
        <f>All!B200</f>
        <v/>
      </c>
      <c r="C194" s="35" t="str">
        <f>All!D200</f>
        <v/>
      </c>
      <c r="D194" s="35" t="str">
        <f>All!C200</f>
        <v/>
      </c>
      <c r="K194" s="3"/>
    </row>
    <row r="195" hidden="1">
      <c r="A195" s="35" t="str">
        <f>All!A201</f>
        <v/>
      </c>
      <c r="B195" s="35" t="str">
        <f>All!B201</f>
        <v/>
      </c>
      <c r="C195" s="35" t="str">
        <f>All!D201</f>
        <v/>
      </c>
      <c r="D195" s="35" t="str">
        <f>All!C201</f>
        <v/>
      </c>
      <c r="K195" s="3"/>
    </row>
    <row r="196" hidden="1">
      <c r="A196" s="35" t="str">
        <f>All!A202</f>
        <v/>
      </c>
      <c r="B196" s="35" t="str">
        <f>All!B202</f>
        <v/>
      </c>
      <c r="C196" s="35" t="str">
        <f>All!D202</f>
        <v/>
      </c>
      <c r="D196" s="35" t="str">
        <f>All!C202</f>
        <v/>
      </c>
      <c r="K196" s="3"/>
    </row>
    <row r="197" hidden="1">
      <c r="A197" s="35" t="str">
        <f>All!A203</f>
        <v/>
      </c>
      <c r="B197" s="35" t="str">
        <f>All!B203</f>
        <v/>
      </c>
      <c r="C197" s="35" t="str">
        <f>All!D203</f>
        <v/>
      </c>
      <c r="D197" s="35" t="str">
        <f>All!C203</f>
        <v/>
      </c>
      <c r="K197" s="3"/>
    </row>
    <row r="198" hidden="1">
      <c r="A198" s="35" t="str">
        <f>All!A204</f>
        <v/>
      </c>
      <c r="B198" s="35" t="str">
        <f>All!B204</f>
        <v/>
      </c>
      <c r="C198" s="35" t="str">
        <f>All!D204</f>
        <v/>
      </c>
      <c r="D198" s="35" t="str">
        <f>All!C204</f>
        <v/>
      </c>
      <c r="K198" s="3"/>
    </row>
    <row r="199" hidden="1">
      <c r="A199" s="35" t="str">
        <f>All!A205</f>
        <v/>
      </c>
      <c r="B199" s="35" t="str">
        <f>All!B205</f>
        <v/>
      </c>
      <c r="C199" s="35" t="str">
        <f>All!D205</f>
        <v/>
      </c>
      <c r="D199" s="35" t="str">
        <f>All!C205</f>
        <v/>
      </c>
      <c r="K199" s="3"/>
    </row>
  </sheetData>
  <autoFilter ref="$D$1:$D$199">
    <filterColumn colId="0">
      <filters>
        <filter val="Series E"/>
        <filter val="Series C"/>
        <filter val="Series D"/>
        <filter val="Series B"/>
        <filter val="Private Equity"/>
        <filter val="Series A Extension"/>
        <filter val="Round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13"/>
    <col customWidth="1" min="2" max="2" width="6.75"/>
    <col customWidth="1" min="3" max="3" width="81.13"/>
  </cols>
  <sheetData>
    <row r="1">
      <c r="A1" s="36" t="s">
        <v>27</v>
      </c>
      <c r="B1" s="38"/>
      <c r="C1" s="38"/>
      <c r="D1" s="37"/>
    </row>
    <row r="2">
      <c r="A2" s="44" t="s">
        <v>13</v>
      </c>
      <c r="B2" s="45" t="s">
        <v>14</v>
      </c>
      <c r="C2" s="44" t="s">
        <v>16</v>
      </c>
      <c r="D2" s="45" t="str">
        <f>All!N8</f>
        <v>Target Customer</v>
      </c>
    </row>
    <row r="3">
      <c r="A3" s="28" t="str">
        <f>All!A21</f>
        <v>Arkive</v>
      </c>
      <c r="B3" s="35" t="str">
        <f>All!B21</f>
        <v>$9.7m</v>
      </c>
      <c r="C3" s="28" t="str">
        <f>All!D21</f>
        <v>Teardown of Arkive's $9.7m Seed deck</v>
      </c>
      <c r="D3" s="46" t="str">
        <f>All!N21</f>
        <v>B2C</v>
      </c>
    </row>
    <row r="4" hidden="1">
      <c r="A4" s="28" t="str">
        <f>All!A10</f>
        <v>Momentum</v>
      </c>
      <c r="B4" s="35" t="str">
        <f>All!B10</f>
        <v>$5m</v>
      </c>
      <c r="C4" s="28" t="str">
        <f>All!D10</f>
        <v>Teardown of Momentum's $5m Seed deck</v>
      </c>
      <c r="D4" s="31" t="str">
        <f>All!N10</f>
        <v>B2B</v>
      </c>
    </row>
    <row r="5">
      <c r="A5" s="28" t="str">
        <f>All!A80</f>
        <v>CancerVAX</v>
      </c>
      <c r="B5" s="35" t="str">
        <f>All!B80</f>
        <v>$10m</v>
      </c>
      <c r="C5" s="28" t="str">
        <f>All!D80</f>
        <v>Teardown of CancerVAX's $10m Crowdfunding deck</v>
      </c>
      <c r="D5" s="46" t="str">
        <f>All!N80</f>
        <v>B2C</v>
      </c>
    </row>
    <row r="6" hidden="1">
      <c r="A6" s="28" t="str">
        <f>All!A12</f>
        <v>BoxedUp</v>
      </c>
      <c r="B6" s="35" t="str">
        <f>All!B12</f>
        <v>$2.3m</v>
      </c>
      <c r="C6" s="28" t="str">
        <f>All!D12</f>
        <v>Teardown of BoxedUp's $2.3m Seed deck</v>
      </c>
      <c r="D6" s="31" t="str">
        <f>All!N12</f>
        <v>B2B</v>
      </c>
    </row>
    <row r="7" hidden="1">
      <c r="A7" s="28" t="str">
        <f>All!A13</f>
        <v>Lumigo</v>
      </c>
      <c r="B7" s="35" t="str">
        <f>All!B13</f>
        <v>$29m</v>
      </c>
      <c r="C7" s="28" t="str">
        <f>All!D13</f>
        <v>Teardown of Lumigo's $29m Series A deck</v>
      </c>
      <c r="D7" s="31" t="str">
        <f>All!N13</f>
        <v>B2B</v>
      </c>
    </row>
    <row r="8" hidden="1">
      <c r="A8" s="28" t="str">
        <f>All!A14</f>
        <v>Encore</v>
      </c>
      <c r="B8" s="35" t="str">
        <f>All!B14</f>
        <v>$3m</v>
      </c>
      <c r="C8" s="28" t="str">
        <f>All!D14</f>
        <v>Teardown of Encore's $3m Seed deck</v>
      </c>
      <c r="D8" s="31" t="str">
        <f>All!N14</f>
        <v>B2B</v>
      </c>
    </row>
    <row r="9" hidden="1">
      <c r="A9" s="28" t="str">
        <f>All!A15</f>
        <v>Lunchbox</v>
      </c>
      <c r="B9" s="35" t="str">
        <f>All!B15</f>
        <v>$50m</v>
      </c>
      <c r="C9" s="28" t="str">
        <f>All!D15</f>
        <v>Teardown of Lunchbox's $50m Series B deck</v>
      </c>
      <c r="D9" s="31" t="str">
        <f>All!N15</f>
        <v>B2B</v>
      </c>
    </row>
    <row r="10">
      <c r="A10" s="28" t="str">
        <f>All!A40</f>
        <v>Card Blanch</v>
      </c>
      <c r="B10" s="35" t="str">
        <f>All!B40</f>
        <v>$460k</v>
      </c>
      <c r="C10" s="28" t="str">
        <f>All!D40</f>
        <v>Teardown of Card Blanch's $460k Angel deck</v>
      </c>
      <c r="D10" s="46" t="str">
        <f>All!N40</f>
        <v>B2C</v>
      </c>
    </row>
    <row r="11" hidden="1">
      <c r="A11" s="28" t="str">
        <f>All!A17</f>
        <v>WayRay</v>
      </c>
      <c r="B11" s="35" t="str">
        <f>All!B17</f>
        <v>$80m</v>
      </c>
      <c r="C11" s="28" t="str">
        <f>All!D17</f>
        <v>Teardown of WayRay's $80m Series E deck</v>
      </c>
      <c r="D11" s="31" t="str">
        <f>All!N17</f>
        <v>B2B</v>
      </c>
    </row>
    <row r="12" hidden="1">
      <c r="A12" s="28" t="str">
        <f>All!A18</f>
        <v>Wilco</v>
      </c>
      <c r="B12" s="35" t="str">
        <f>All!B18</f>
        <v>$7m</v>
      </c>
      <c r="C12" s="28" t="str">
        <f>All!D18</f>
        <v>Teardown of Wilco's $7m Seed deck</v>
      </c>
      <c r="D12" s="31" t="str">
        <f>All!N18</f>
        <v>B2B</v>
      </c>
    </row>
    <row r="13" hidden="1">
      <c r="A13" s="28" t="str">
        <f>All!A19</f>
        <v>Enduring Planet</v>
      </c>
      <c r="B13" s="35" t="str">
        <f>All!B19</f>
        <v>$2m</v>
      </c>
      <c r="C13" s="28" t="str">
        <f>All!D19</f>
        <v>Teardown of Enduring Planet's $2m Seed deck</v>
      </c>
      <c r="D13" s="31" t="str">
        <f>All!N19</f>
        <v>B2B2C</v>
      </c>
    </row>
    <row r="14" hidden="1">
      <c r="A14" s="28" t="str">
        <f>All!A20</f>
        <v>Forethought</v>
      </c>
      <c r="B14" s="35" t="str">
        <f>All!B20</f>
        <v>$65m</v>
      </c>
      <c r="C14" s="28" t="str">
        <f>All!D20</f>
        <v>Teardown of Forethought's $65m Series C deck</v>
      </c>
      <c r="D14" s="31" t="str">
        <f>All!N20</f>
        <v>B2B</v>
      </c>
    </row>
    <row r="15">
      <c r="A15" s="28" t="str">
        <f>All!A55</f>
        <v>Careerist</v>
      </c>
      <c r="B15" s="35" t="str">
        <f>All!B55</f>
        <v>$8m</v>
      </c>
      <c r="C15" s="28" t="str">
        <f>All!D55</f>
        <v>Teardown of Careerist's $8m Series A deck</v>
      </c>
      <c r="D15" s="46" t="str">
        <f>All!N55</f>
        <v>B2C</v>
      </c>
    </row>
    <row r="16" hidden="1">
      <c r="A16" s="28" t="str">
        <f>All!A22</f>
        <v>Alto Pharmacy</v>
      </c>
      <c r="B16" s="35" t="str">
        <f>All!B22</f>
        <v>$200m</v>
      </c>
      <c r="C16" s="28" t="str">
        <f>All!D22</f>
        <v>Teardown of Alto Pharmacy's $200m Series E deck</v>
      </c>
      <c r="D16" s="31" t="str">
        <f>All!N22</f>
        <v>B2B2C</v>
      </c>
    </row>
    <row r="17" hidden="1">
      <c r="A17" s="28" t="str">
        <f>All!A23</f>
        <v>Glambook</v>
      </c>
      <c r="B17" s="35" t="str">
        <f>All!B23</f>
        <v>$2.5m</v>
      </c>
      <c r="C17" s="28" t="str">
        <f>All!D23</f>
        <v>Teardown of Glambook's $2.5m Seed deck</v>
      </c>
      <c r="D17" s="31" t="str">
        <f>All!N23</f>
        <v>B2B2C</v>
      </c>
    </row>
    <row r="18" hidden="1">
      <c r="A18" s="28" t="str">
        <f>All!A24</f>
        <v>Five Flute</v>
      </c>
      <c r="B18" s="35" t="str">
        <f>All!B24</f>
        <v>$1.2m</v>
      </c>
      <c r="C18" s="28" t="str">
        <f>All!D24</f>
        <v>Teardown of Five Flute's $1.2m Pre-seed deck</v>
      </c>
      <c r="D18" s="31" t="str">
        <f>All!N24</f>
        <v>B2B</v>
      </c>
    </row>
    <row r="19" hidden="1">
      <c r="A19" s="28" t="str">
        <f>All!A25</f>
        <v>Mi Terro</v>
      </c>
      <c r="B19" s="35" t="str">
        <f>All!B25</f>
        <v>$1.5m</v>
      </c>
      <c r="C19" s="28" t="str">
        <f>All!D25</f>
        <v>Teardown of Mi Terro's $1.5m Seed deck</v>
      </c>
      <c r="D19" s="31" t="str">
        <f>All!N25</f>
        <v>B2B</v>
      </c>
    </row>
    <row r="20" hidden="1">
      <c r="A20" s="28" t="str">
        <f>All!A26</f>
        <v>SIMBA Chain</v>
      </c>
      <c r="B20" s="35" t="str">
        <f>All!B26</f>
        <v>$25m</v>
      </c>
      <c r="C20" s="28" t="str">
        <f>All!D26</f>
        <v>Teardown of SIMBA Chain's $25m Series A deck</v>
      </c>
      <c r="D20" s="31" t="str">
        <f>All!N26</f>
        <v>B2B</v>
      </c>
    </row>
    <row r="21" hidden="1">
      <c r="A21" s="28" t="str">
        <f>All!A27</f>
        <v>Front</v>
      </c>
      <c r="B21" s="35" t="str">
        <f>All!B27</f>
        <v>$65m</v>
      </c>
      <c r="C21" s="28" t="str">
        <f>All!D27</f>
        <v>Teardown of Front's $65m Series D deck</v>
      </c>
      <c r="D21" s="31" t="str">
        <f>All!N27</f>
        <v>B2B</v>
      </c>
    </row>
    <row r="22" hidden="1">
      <c r="A22" s="28" t="str">
        <f>All!A28</f>
        <v>Helu</v>
      </c>
      <c r="B22" s="35" t="str">
        <f>All!B28</f>
        <v>$9.8m</v>
      </c>
      <c r="C22" s="28" t="str">
        <f>All!D28</f>
        <v>Teardown of Helu's $9.8m Series A deck</v>
      </c>
      <c r="D22" s="31" t="str">
        <f>All!N28</f>
        <v>B2B</v>
      </c>
    </row>
    <row r="23" hidden="1">
      <c r="A23" s="28" t="str">
        <f>All!A29</f>
        <v>Party Round</v>
      </c>
      <c r="B23" s="35" t="str">
        <f>All!B29</f>
        <v>$7m</v>
      </c>
      <c r="C23" s="28" t="str">
        <f>All!D29</f>
        <v>Teardown of Party Round's $7m Angel deck</v>
      </c>
      <c r="D23" s="31" t="str">
        <f>All!N29</f>
        <v>B2B</v>
      </c>
    </row>
    <row r="24" hidden="1">
      <c r="A24" s="28" t="str">
        <f>All!A30</f>
        <v>Rokoko</v>
      </c>
      <c r="B24" s="35" t="str">
        <f>All!B30</f>
        <v>$3m</v>
      </c>
      <c r="C24" s="28" t="str">
        <f>All!D30</f>
        <v>Teardown of Rokoko's $3m Strategic Extension deck</v>
      </c>
      <c r="D24" s="31" t="str">
        <f>All!N30</f>
        <v>B2B</v>
      </c>
    </row>
    <row r="25" hidden="1">
      <c r="A25" s="28" t="str">
        <f>All!A31</f>
        <v>Vori</v>
      </c>
      <c r="B25" s="35" t="str">
        <f>All!B31</f>
        <v>$10m</v>
      </c>
      <c r="C25" s="28" t="str">
        <f>All!D31</f>
        <v>Teardown of Vori's $10m Series A deck</v>
      </c>
      <c r="D25" s="31" t="str">
        <f>All!N31</f>
        <v>B2B</v>
      </c>
    </row>
    <row r="26" hidden="1">
      <c r="A26" s="28" t="str">
        <f>All!A32</f>
        <v>Supliful</v>
      </c>
      <c r="B26" s="35" t="str">
        <f>All!B32</f>
        <v>$1m</v>
      </c>
      <c r="C26" s="28" t="str">
        <f>All!D32</f>
        <v>Teardown of Supliful's $1m Seed deck</v>
      </c>
      <c r="D26" s="31" t="str">
        <f>All!N32</f>
        <v>B2B2C</v>
      </c>
    </row>
    <row r="27">
      <c r="A27" s="28" t="str">
        <f>All!A53</f>
        <v>Diamond Standard</v>
      </c>
      <c r="B27" s="35" t="str">
        <f>All!B53</f>
        <v>$30m</v>
      </c>
      <c r="C27" s="28" t="str">
        <f>All!D53</f>
        <v>Teardown of Diamond Standard's $30m Series A deck</v>
      </c>
      <c r="D27" s="46" t="str">
        <f>All!N53</f>
        <v>B2C</v>
      </c>
    </row>
    <row r="28">
      <c r="A28" s="28" t="str">
        <f>All!A11</f>
        <v>Dutch</v>
      </c>
      <c r="B28" s="35" t="str">
        <f>All!B11</f>
        <v>$20m</v>
      </c>
      <c r="C28" s="28" t="str">
        <f>All!D11</f>
        <v>Teardown of Dutch's $20m Series A deck</v>
      </c>
      <c r="D28" s="46" t="str">
        <f>All!N11</f>
        <v>B2C</v>
      </c>
    </row>
    <row r="29" hidden="1">
      <c r="A29" s="28" t="str">
        <f>All!A35</f>
        <v>Sateliot</v>
      </c>
      <c r="B29" s="35" t="str">
        <f>All!B35</f>
        <v>$11.4m</v>
      </c>
      <c r="C29" s="28" t="str">
        <f>All!D35</f>
        <v>Teardown of Sateliot's $11.4m Series A deck</v>
      </c>
      <c r="D29" s="31" t="str">
        <f>All!N35</f>
        <v>B2B</v>
      </c>
    </row>
    <row r="30" hidden="1">
      <c r="A30" s="28" t="str">
        <f>All!A36</f>
        <v>Juro</v>
      </c>
      <c r="B30" s="35" t="str">
        <f>All!B36</f>
        <v>$23m</v>
      </c>
      <c r="C30" s="28" t="str">
        <f>All!D36</f>
        <v>Teardown of Juro's $23m Series B deck</v>
      </c>
      <c r="D30" s="31" t="str">
        <f>All!N36</f>
        <v>B2B</v>
      </c>
    </row>
    <row r="31" hidden="1">
      <c r="A31" s="28" t="str">
        <f>All!A37</f>
        <v>Hour One</v>
      </c>
      <c r="B31" s="35" t="str">
        <f>All!B37</f>
        <v>$20m</v>
      </c>
      <c r="C31" s="28" t="str">
        <f>All!D37</f>
        <v>Teardown of Hour One's $20m Series A deck</v>
      </c>
      <c r="D31" s="31" t="str">
        <f>All!N37</f>
        <v>B2B</v>
      </c>
    </row>
    <row r="32">
      <c r="A32" s="28" t="str">
        <f>All!A16</f>
        <v>Ergeon</v>
      </c>
      <c r="B32" s="35" t="str">
        <f>All!B16</f>
        <v>$40m</v>
      </c>
      <c r="C32" s="28" t="str">
        <f>All!D16</f>
        <v>Teardown of Ergeon's $40m Series B deck</v>
      </c>
      <c r="D32" s="46" t="str">
        <f>All!N16</f>
        <v>B2C</v>
      </c>
    </row>
    <row r="33" hidden="1">
      <c r="A33" s="28" t="str">
        <f>All!A39</f>
        <v>MedCrypt</v>
      </c>
      <c r="B33" s="35" t="str">
        <f>All!B39</f>
        <v>$25m</v>
      </c>
      <c r="C33" s="28" t="str">
        <f>All!D39</f>
        <v>Teardown of MedCrypt's $25m Series B deck</v>
      </c>
      <c r="D33" s="31" t="str">
        <f>All!N39</f>
        <v>B2B</v>
      </c>
    </row>
    <row r="34">
      <c r="A34" s="28" t="str">
        <f>All!A59</f>
        <v>Faye</v>
      </c>
      <c r="B34" s="35" t="str">
        <f>All!B59</f>
        <v>$10m</v>
      </c>
      <c r="C34" s="28" t="str">
        <f>All!D59</f>
        <v>Teardown of Faye's $10m Series A deck</v>
      </c>
      <c r="D34" s="46" t="str">
        <f>All!N59</f>
        <v>B2C</v>
      </c>
    </row>
    <row r="35" hidden="1">
      <c r="A35" s="28" t="str">
        <f>All!A41</f>
        <v>Scrintal</v>
      </c>
      <c r="B35" s="35" t="str">
        <f>All!B41</f>
        <v>$1m</v>
      </c>
      <c r="C35" s="28" t="str">
        <f>All!D41</f>
        <v>Teardown of Scrintal's $1m Seed deck</v>
      </c>
      <c r="D35" s="31" t="str">
        <f>All!N41</f>
        <v>B2B</v>
      </c>
    </row>
    <row r="36" hidden="1">
      <c r="A36" s="28" t="str">
        <f>All!A42</f>
        <v>Orange</v>
      </c>
      <c r="B36" s="35" t="str">
        <f>All!B42</f>
        <v>$2.5m</v>
      </c>
      <c r="C36" s="28" t="str">
        <f>All!D42</f>
        <v>Teardown of Orange's $2.5m Seed deck</v>
      </c>
      <c r="D36" s="31" t="str">
        <f>All!N42</f>
        <v>B2B2C</v>
      </c>
    </row>
    <row r="37">
      <c r="A37" s="28" t="str">
        <f>All!A100</f>
        <v>Geodesic.Life</v>
      </c>
      <c r="B37" s="35" t="str">
        <f>All!B100</f>
        <v>$500k</v>
      </c>
      <c r="C37" s="28" t="str">
        <f>All!D100</f>
        <v>Teardown of Geodesic.Life's $500k Pre-seed deck</v>
      </c>
      <c r="D37" s="46" t="str">
        <f>All!N100</f>
        <v>B2C</v>
      </c>
    </row>
    <row r="38" hidden="1">
      <c r="A38" s="28" t="str">
        <f>All!A44</f>
        <v>Spinach</v>
      </c>
      <c r="B38" s="35" t="str">
        <f>All!B44</f>
        <v>$3.5m</v>
      </c>
      <c r="C38" s="28" t="str">
        <f>All!D44</f>
        <v>Teardown of Spinach's $3.5m Seed deck</v>
      </c>
      <c r="D38" s="31" t="str">
        <f>All!N44</f>
        <v>B2B</v>
      </c>
    </row>
    <row r="39" hidden="1">
      <c r="A39" s="28" t="str">
        <f>All!A45</f>
        <v>Incymo AI</v>
      </c>
      <c r="B39" s="35" t="str">
        <f>All!B45</f>
        <v>$850k</v>
      </c>
      <c r="C39" s="28" t="str">
        <f>All!D45</f>
        <v>Teardown of Incymo AI's $850k Seed deck</v>
      </c>
      <c r="D39" s="31" t="str">
        <f>All!N45</f>
        <v>B2B</v>
      </c>
    </row>
    <row r="40">
      <c r="A40" s="28" t="str">
        <f>All!A65</f>
        <v>GoodBuy Gear</v>
      </c>
      <c r="B40" s="35" t="str">
        <f>All!B65</f>
        <v>$5m</v>
      </c>
      <c r="C40" s="28" t="str">
        <f>All!D65</f>
        <v>Teardown of GoodBuy Gear's $5m Series A Extension deck</v>
      </c>
      <c r="D40" s="46" t="str">
        <f>All!N65</f>
        <v>B2C</v>
      </c>
    </row>
    <row r="41" hidden="1">
      <c r="A41" s="28" t="str">
        <f>All!A47</f>
        <v>Gable</v>
      </c>
      <c r="B41" s="35" t="str">
        <f>All!B47</f>
        <v>$16m</v>
      </c>
      <c r="C41" s="28" t="str">
        <f>All!D47</f>
        <v>Teardown of Gable's $16m Series A deck</v>
      </c>
      <c r="D41" s="31" t="str">
        <f>All!N47</f>
        <v>B2B</v>
      </c>
    </row>
    <row r="42" hidden="1">
      <c r="A42" s="28" t="str">
        <f>All!A48</f>
        <v>MiO Marketplace</v>
      </c>
      <c r="B42" s="35" t="str">
        <f>All!B48</f>
        <v>$550k</v>
      </c>
      <c r="C42" s="28" t="str">
        <f>All!D48</f>
        <v>Teardown of MiO Marketplace's $550k Angel deck</v>
      </c>
      <c r="D42" s="31" t="str">
        <f>All!N48</f>
        <v>B2B</v>
      </c>
    </row>
    <row r="43" hidden="1">
      <c r="A43" s="28" t="str">
        <f>All!A49</f>
        <v>StudentFinance</v>
      </c>
      <c r="B43" s="35" t="str">
        <f>All!B49</f>
        <v>$41m</v>
      </c>
      <c r="C43" s="28" t="str">
        <f>All!D49</f>
        <v>Teardown of StudentFinance's $41m Series A deck</v>
      </c>
      <c r="D43" s="31" t="str">
        <f>All!N49</f>
        <v>B2B2C</v>
      </c>
    </row>
    <row r="44" hidden="1">
      <c r="A44" s="28" t="str">
        <f>All!A50</f>
        <v>Prelaunch</v>
      </c>
      <c r="B44" s="35" t="str">
        <f>All!B50</f>
        <v>$1.5m</v>
      </c>
      <c r="C44" s="28" t="str">
        <f>All!D50</f>
        <v>Teardown of Prelaunch's $1.5m Seed deck</v>
      </c>
      <c r="D44" s="31" t="str">
        <f>All!N50</f>
        <v>B2B</v>
      </c>
    </row>
    <row r="45" hidden="1">
      <c r="A45" s="28" t="str">
        <f>All!A51</f>
        <v>Northspyre</v>
      </c>
      <c r="B45" s="35" t="str">
        <f>All!B51</f>
        <v>$25m</v>
      </c>
      <c r="C45" s="28" t="str">
        <f>All!D51</f>
        <v>Teardown of Northspyre's $25m Series B deck</v>
      </c>
      <c r="D45" s="31" t="str">
        <f>All!N51</f>
        <v>B2B</v>
      </c>
    </row>
    <row r="46">
      <c r="A46" s="28" t="str">
        <f>All!A85</f>
        <v>HomeCooks</v>
      </c>
      <c r="B46" s="35" t="str">
        <f>All!B85</f>
        <v>$3.2m</v>
      </c>
      <c r="C46" s="28" t="str">
        <f>All!D85</f>
        <v>Teardown of HomeCooks's $3.2m Seed deck</v>
      </c>
      <c r="D46" s="46" t="str">
        <f>All!N85</f>
        <v>B2C</v>
      </c>
    </row>
    <row r="47">
      <c r="A47" s="28" t="str">
        <f>All!A106</f>
        <v>Kinnect</v>
      </c>
      <c r="B47" s="35" t="str">
        <f>All!B106</f>
        <v>$250k</v>
      </c>
      <c r="C47" s="28" t="str">
        <f>All!D106</f>
        <v>Teardown of Kinnect's $250k Angel deck</v>
      </c>
      <c r="D47" s="46" t="str">
        <f>All!N106</f>
        <v>B2C</v>
      </c>
    </row>
    <row r="48" hidden="1">
      <c r="A48" s="28" t="str">
        <f>All!A54</f>
        <v>Honeycomb </v>
      </c>
      <c r="B48" s="35" t="str">
        <f>All!B54</f>
        <v>$50m</v>
      </c>
      <c r="C48" s="28" t="str">
        <f>All!D54</f>
        <v>Teardown of Honeycomb 's $50m Series D deck</v>
      </c>
      <c r="D48" s="31" t="str">
        <f>All!N54</f>
        <v>B2B</v>
      </c>
    </row>
    <row r="49">
      <c r="A49" s="28" t="str">
        <f>All!A43</f>
        <v>Laoshi</v>
      </c>
      <c r="B49" s="35" t="str">
        <f>All!B43</f>
        <v>$570k</v>
      </c>
      <c r="C49" s="28" t="str">
        <f>All!D43</f>
        <v>Teardown of Laoshi's $570k Angel  deck</v>
      </c>
      <c r="D49" s="46" t="str">
        <f>All!N43</f>
        <v>B2C</v>
      </c>
    </row>
    <row r="50" hidden="1">
      <c r="A50" s="35" t="str">
        <f>All!A56</f>
        <v>The Perfect Pitch Deck</v>
      </c>
      <c r="B50" s="35" t="str">
        <f>All!B56</f>
        <v>$1m</v>
      </c>
      <c r="C50" s="28" t="str">
        <f>All!D56</f>
        <v>Teardown of The Perfect Pitch Deck's $1m Seed deck</v>
      </c>
      <c r="D50" s="31" t="str">
        <f>All!N56</f>
        <v>B2B2C</v>
      </c>
    </row>
    <row r="51" hidden="1">
      <c r="A51" s="28" t="str">
        <f>All!A57</f>
        <v>Fibery</v>
      </c>
      <c r="B51" s="35" t="str">
        <f>All!B57</f>
        <v>$5.2m</v>
      </c>
      <c r="C51" s="28" t="str">
        <f>All!D57</f>
        <v>Teardown of Fibery's $5.2m Series A deck</v>
      </c>
      <c r="D51" s="31" t="str">
        <f>All!N57</f>
        <v>B2B</v>
      </c>
    </row>
    <row r="52" hidden="1">
      <c r="A52" s="28" t="str">
        <f>All!A58</f>
        <v>Ageras</v>
      </c>
      <c r="B52" s="35" t="str">
        <f>All!B58</f>
        <v>$36m</v>
      </c>
      <c r="C52" s="28" t="str">
        <f>All!D58</f>
        <v>Teardown of Ageras's $36m Private Equity deck</v>
      </c>
      <c r="D52" s="31" t="str">
        <f>All!N58</f>
        <v>B2B</v>
      </c>
    </row>
    <row r="53">
      <c r="A53" s="28" t="str">
        <f>All!A77</f>
        <v>Lupiya</v>
      </c>
      <c r="B53" s="35" t="str">
        <f>All!B77</f>
        <v>$8.3m</v>
      </c>
      <c r="C53" s="28" t="str">
        <f>All!D77</f>
        <v>Teardown of Lupiya's $8.3m Series A deck</v>
      </c>
      <c r="D53" s="46" t="str">
        <f>All!N77</f>
        <v>B2C</v>
      </c>
    </row>
    <row r="54" hidden="1">
      <c r="A54" s="28" t="str">
        <f>All!A60</f>
        <v>Oii AI</v>
      </c>
      <c r="B54" s="35" t="str">
        <f>All!B60</f>
        <v>$1.85m</v>
      </c>
      <c r="C54" s="28" t="str">
        <f>All!D60</f>
        <v>Teardown of Oii AI's $1.85m Seed deck</v>
      </c>
      <c r="D54" s="31" t="str">
        <f>All!N60</f>
        <v>B2B</v>
      </c>
    </row>
    <row r="55" hidden="1">
      <c r="A55" s="28" t="str">
        <f>All!A61</f>
        <v>CulturePulse</v>
      </c>
      <c r="B55" s="35" t="str">
        <f>All!B61</f>
        <v>$1m</v>
      </c>
      <c r="C55" s="28" t="str">
        <f>All!D61</f>
        <v>Teardown of CulturePulse's $1m Seed deck</v>
      </c>
      <c r="D55" s="31" t="str">
        <f>All!N61</f>
        <v>B2B</v>
      </c>
    </row>
    <row r="56" hidden="1">
      <c r="A56" s="28" t="str">
        <f>All!A62</f>
        <v>Netmaker</v>
      </c>
      <c r="B56" s="35" t="str">
        <f>All!B62</f>
        <v>$2.3m</v>
      </c>
      <c r="C56" s="28" t="str">
        <f>All!D62</f>
        <v>Teardown of Netmaker's $2.3m Seed deck</v>
      </c>
      <c r="D56" s="31" t="str">
        <f>All!N62</f>
        <v>B2B</v>
      </c>
    </row>
    <row r="57">
      <c r="A57" s="28" t="str">
        <f>All!A9</f>
        <v>Minut</v>
      </c>
      <c r="B57" s="35" t="str">
        <f>All!B9</f>
        <v>$15m</v>
      </c>
      <c r="C57" s="28" t="str">
        <f>All!D9</f>
        <v>Teardown of Minut's $15m Series B deck</v>
      </c>
      <c r="D57" s="46" t="str">
        <f>All!N9</f>
        <v>B2C</v>
      </c>
    </row>
    <row r="58" hidden="1">
      <c r="A58" s="28" t="str">
        <f>All!A64</f>
        <v>Nokod Security</v>
      </c>
      <c r="B58" s="35" t="str">
        <f>All!B64</f>
        <v>$8m</v>
      </c>
      <c r="C58" s="28" t="str">
        <f>All!D64</f>
        <v>Teardown of Nokod Security's $8m Seed deck</v>
      </c>
      <c r="D58" s="31" t="str">
        <f>All!N64</f>
        <v>B2B</v>
      </c>
    </row>
    <row r="59">
      <c r="A59" s="28" t="str">
        <f>All!A33</f>
        <v>Palau Project </v>
      </c>
      <c r="B59" s="35" t="str">
        <f>All!B33</f>
        <v>$125k</v>
      </c>
      <c r="C59" s="28" t="str">
        <f>All!D33</f>
        <v>Teardown of Palau Project 's $125k Pre-seed deck</v>
      </c>
      <c r="D59" s="46" t="str">
        <f>All!N33</f>
        <v>B2C</v>
      </c>
    </row>
    <row r="60" hidden="1">
      <c r="A60" s="28" t="str">
        <f>All!A66</f>
        <v>CleanHub</v>
      </c>
      <c r="B60" s="35" t="str">
        <f>All!B66</f>
        <v>$7m</v>
      </c>
      <c r="C60" s="28" t="str">
        <f>All!D66</f>
        <v>Teardown of CleanHub's $7m Seed deck</v>
      </c>
      <c r="D60" s="31" t="str">
        <f>All!N66</f>
        <v>B2B</v>
      </c>
    </row>
    <row r="61" hidden="1">
      <c r="A61" s="28" t="str">
        <f>All!A67</f>
        <v>Unito</v>
      </c>
      <c r="B61" s="35" t="str">
        <f>All!B67</f>
        <v>$20m</v>
      </c>
      <c r="C61" s="28" t="str">
        <f>All!D67</f>
        <v>Teardown of Unito's $20m Series B deck</v>
      </c>
      <c r="D61" s="31" t="str">
        <f>All!N67</f>
        <v>B2B</v>
      </c>
    </row>
    <row r="62" hidden="1">
      <c r="A62" s="28" t="str">
        <f>All!A68</f>
        <v>SquadTrip</v>
      </c>
      <c r="B62" s="35" t="str">
        <f>All!B68</f>
        <v>$1.5m</v>
      </c>
      <c r="C62" s="28" t="str">
        <f>All!D68</f>
        <v>Teardown of SquadTrip's $1.5m Pre-seed deck</v>
      </c>
      <c r="D62" s="31" t="str">
        <f>All!N68</f>
        <v>B2B</v>
      </c>
    </row>
    <row r="63" hidden="1">
      <c r="A63" s="28" t="str">
        <f>All!A69</f>
        <v>ANYbotics AG</v>
      </c>
      <c r="B63" s="35" t="str">
        <f>All!B69</f>
        <v>$50m</v>
      </c>
      <c r="C63" s="28" t="str">
        <f>All!D69</f>
        <v>Teardown of ANYbotics AG's $50m Series B deck</v>
      </c>
      <c r="D63" s="31" t="str">
        <f>All!N69</f>
        <v>B2B</v>
      </c>
    </row>
    <row r="64" hidden="1">
      <c r="A64" s="28" t="str">
        <f>All!A70</f>
        <v>DeckMatch</v>
      </c>
      <c r="B64" s="35" t="str">
        <f>All!B70</f>
        <v>$1m</v>
      </c>
      <c r="C64" s="28" t="str">
        <f>All!D70</f>
        <v>Teardown of DeckMatch's $1m Seed deck</v>
      </c>
      <c r="D64" s="31" t="str">
        <f>All!N70</f>
        <v>B2B</v>
      </c>
    </row>
    <row r="65" hidden="1">
      <c r="A65" s="28" t="str">
        <f>All!A71</f>
        <v>BusRight</v>
      </c>
      <c r="B65" s="35" t="str">
        <f>All!B71</f>
        <v>$7m</v>
      </c>
      <c r="C65" s="28" t="str">
        <f>All!D71</f>
        <v>Teardown of BusRight's $7m Series A deck</v>
      </c>
      <c r="D65" s="31" t="str">
        <f>All!N71</f>
        <v>B2B</v>
      </c>
    </row>
    <row r="66">
      <c r="A66" s="28" t="str">
        <f>All!A97</f>
        <v>Plantee Innovations</v>
      </c>
      <c r="B66" s="35" t="str">
        <f>All!B97</f>
        <v>$1.4m</v>
      </c>
      <c r="C66" s="28" t="str">
        <f>All!D97</f>
        <v>Teardown of Plantee Innovations's $1.4m Seed deck</v>
      </c>
      <c r="D66" s="46" t="str">
        <f>All!N97</f>
        <v>B2C</v>
      </c>
    </row>
    <row r="67">
      <c r="A67" s="28" t="str">
        <f>All!A76</f>
        <v>point me</v>
      </c>
      <c r="B67" s="35" t="str">
        <f>All!B76</f>
        <v>$10m</v>
      </c>
      <c r="C67" s="28" t="str">
        <f>All!D76</f>
        <v>Teardown of point me's $10m Series A deck</v>
      </c>
      <c r="D67" s="46" t="str">
        <f>All!N76</f>
        <v>B2C</v>
      </c>
    </row>
    <row r="68" hidden="1">
      <c r="A68" s="28" t="str">
        <f>All!A74</f>
        <v>Learn XYZ</v>
      </c>
      <c r="B68" s="35" t="str">
        <f>All!B74</f>
        <v>$3m</v>
      </c>
      <c r="C68" s="28" t="str">
        <f>All!D74</f>
        <v>Teardown of Learn XYZ's $3m Seed deck</v>
      </c>
      <c r="D68" s="31" t="str">
        <f>All!N74</f>
        <v>B2B</v>
      </c>
    </row>
    <row r="69" hidden="1">
      <c r="A69" s="28" t="str">
        <f>All!A75</f>
        <v>Transcend</v>
      </c>
      <c r="B69" s="35" t="str">
        <f>All!B75</f>
        <v>$20m</v>
      </c>
      <c r="C69" s="28" t="str">
        <f>All!D75</f>
        <v>Teardown of Transcend's $20m Series B deck</v>
      </c>
      <c r="D69" s="31" t="str">
        <f>All!N75</f>
        <v>B2B</v>
      </c>
    </row>
    <row r="70">
      <c r="A70" s="28" t="str">
        <f>All!A98</f>
        <v>Queerie</v>
      </c>
      <c r="B70" s="35" t="str">
        <f>All!B98</f>
        <v>$300k</v>
      </c>
      <c r="C70" s="28" t="str">
        <f>All!D98</f>
        <v>Teardown of Queerie's $300k Pre-seed deck</v>
      </c>
      <c r="D70" s="46" t="str">
        <f>All!N98</f>
        <v>B2C</v>
      </c>
    </row>
    <row r="71">
      <c r="A71" s="28" t="str">
        <f>All!A105</f>
        <v>RAW Dating App</v>
      </c>
      <c r="B71" s="35" t="str">
        <f>All!B105</f>
        <v>$3m</v>
      </c>
      <c r="C71" s="28" t="str">
        <f>All!D105</f>
        <v>Teardown of RAW Dating App's $3m Angel deck</v>
      </c>
      <c r="D71" s="46" t="str">
        <f>All!N105</f>
        <v>B2C</v>
      </c>
    </row>
    <row r="72">
      <c r="A72" s="28" t="str">
        <f>All!A38</f>
        <v>Rootine</v>
      </c>
      <c r="B72" s="35" t="str">
        <f>All!B38</f>
        <v>$10m</v>
      </c>
      <c r="C72" s="28" t="str">
        <f>All!D38</f>
        <v>Teardown of Rootine's $10m Series A deck</v>
      </c>
      <c r="D72" s="46" t="str">
        <f>All!N38</f>
        <v>B2C</v>
      </c>
    </row>
    <row r="73" hidden="1">
      <c r="A73" s="28" t="str">
        <f>All!A79</f>
        <v>Aether</v>
      </c>
      <c r="B73" s="35" t="str">
        <f>All!B79</f>
        <v>$49m</v>
      </c>
      <c r="C73" s="28" t="str">
        <f>All!D79</f>
        <v>Teardown of Aether's $49m Series A deck</v>
      </c>
      <c r="D73" s="31" t="str">
        <f>All!N79</f>
        <v>B2B</v>
      </c>
    </row>
    <row r="74">
      <c r="A74" s="28" t="str">
        <f>All!A52</f>
        <v>Smalls</v>
      </c>
      <c r="B74" s="35" t="str">
        <f>All!B52</f>
        <v>$19m</v>
      </c>
      <c r="C74" s="28" t="str">
        <f>All!D52</f>
        <v>Teardown of Smalls's $19m Series B deck</v>
      </c>
      <c r="D74" s="46" t="str">
        <f>All!N52</f>
        <v>B2C</v>
      </c>
    </row>
    <row r="75" hidden="1">
      <c r="A75" s="28" t="str">
        <f>All!A81</f>
        <v>Phospholutions</v>
      </c>
      <c r="B75" s="35" t="str">
        <f>All!B81</f>
        <v>$10.15m</v>
      </c>
      <c r="C75" s="28" t="str">
        <f>All!D81</f>
        <v>Teardown of Phospholutions's $10.15m Series A extension deck</v>
      </c>
      <c r="D75" s="31" t="str">
        <f>All!N81</f>
        <v>B2B</v>
      </c>
    </row>
    <row r="76" hidden="1">
      <c r="A76" s="28" t="str">
        <f>All!A82</f>
        <v>Fifth Dimension AI</v>
      </c>
      <c r="B76" s="35" t="str">
        <f>All!B82</f>
        <v>$2.8m</v>
      </c>
      <c r="C76" s="28" t="str">
        <f>All!D82</f>
        <v>Teardown of Fifth Dimension AI's $2.8m Seed deck</v>
      </c>
      <c r="D76" s="31" t="str">
        <f>All!N82</f>
        <v>B2B</v>
      </c>
    </row>
    <row r="77" hidden="1">
      <c r="A77" s="28" t="str">
        <f>All!A83</f>
        <v>Scalestack</v>
      </c>
      <c r="B77" s="35" t="str">
        <f>All!B83</f>
        <v>$1m</v>
      </c>
      <c r="C77" s="28" t="str">
        <f>All!D83</f>
        <v>Teardown of Scalestack's $1m Seed deck</v>
      </c>
      <c r="D77" s="31" t="str">
        <f>All!N83</f>
        <v>B2B</v>
      </c>
    </row>
    <row r="78" hidden="1">
      <c r="A78" s="28" t="str">
        <f>All!A84</f>
        <v>Metafuels</v>
      </c>
      <c r="B78" s="35" t="str">
        <f>All!B84</f>
        <v>$8m</v>
      </c>
      <c r="C78" s="28" t="str">
        <f>All!D84</f>
        <v>Teardown of Metafuels's $8m Seed deck</v>
      </c>
      <c r="D78" s="31" t="str">
        <f>All!N84</f>
        <v>B2B</v>
      </c>
    </row>
    <row r="79">
      <c r="A79" s="28" t="str">
        <f>All!A78</f>
        <v>SplitBrick</v>
      </c>
      <c r="B79" s="35" t="str">
        <f>All!B78</f>
        <v>$200k</v>
      </c>
      <c r="C79" s="28" t="str">
        <f>All!D78</f>
        <v>Teardown of SplitBrick's $200k Angel deck</v>
      </c>
      <c r="D79" s="46" t="str">
        <f>All!N78</f>
        <v>B2C</v>
      </c>
    </row>
    <row r="80" hidden="1">
      <c r="A80" s="28" t="str">
        <f>All!A86</f>
        <v>Pepper Bio</v>
      </c>
      <c r="B80" s="35" t="str">
        <f>All!B86</f>
        <v>$6.5m</v>
      </c>
      <c r="C80" s="28" t="str">
        <f>All!D86</f>
        <v>Teardown of Pepper Bio's $6.5m Seed deck</v>
      </c>
      <c r="D80" s="31" t="str">
        <f>All!N86</f>
        <v>B2B</v>
      </c>
    </row>
    <row r="81" hidden="1">
      <c r="A81" s="28" t="str">
        <f>All!A87</f>
        <v>Qortex</v>
      </c>
      <c r="B81" s="35" t="str">
        <f>All!B87</f>
        <v>$10m</v>
      </c>
      <c r="C81" s="28" t="str">
        <f>All!D87</f>
        <v>Teardown of Qortex's $10m Seed deck</v>
      </c>
      <c r="D81" s="31" t="str">
        <f>All!N87</f>
        <v>B2B</v>
      </c>
    </row>
    <row r="82" hidden="1">
      <c r="A82" s="28" t="str">
        <f>All!A88</f>
        <v>Ryplzz</v>
      </c>
      <c r="B82" s="35" t="str">
        <f>All!B88</f>
        <v>$3m</v>
      </c>
      <c r="C82" s="28" t="str">
        <f>All!D88</f>
        <v>Teardown of Ryplzz's $3m Seed deck</v>
      </c>
      <c r="D82" s="31" t="str">
        <f>All!N88</f>
        <v>B2B</v>
      </c>
    </row>
    <row r="83" hidden="1">
      <c r="A83" s="28" t="str">
        <f>All!A89</f>
        <v>Doola</v>
      </c>
      <c r="B83" s="35" t="str">
        <f>All!B89</f>
        <v>$1m</v>
      </c>
      <c r="C83" s="28" t="str">
        <f>All!D89</f>
        <v>Teardown of Doola's $1m Series A extension deck</v>
      </c>
      <c r="D83" s="31" t="str">
        <f>All!N89</f>
        <v>B2B</v>
      </c>
    </row>
    <row r="84" hidden="1">
      <c r="A84" s="28" t="str">
        <f>All!A90</f>
        <v>PhageLab</v>
      </c>
      <c r="B84" s="35" t="str">
        <f>All!B90</f>
        <v>$11m</v>
      </c>
      <c r="C84" s="28" t="str">
        <f>All!D90</f>
        <v>Teardown of PhageLab's $11m Series A deck</v>
      </c>
      <c r="D84" s="31" t="str">
        <f>All!N90</f>
        <v>B2B</v>
      </c>
    </row>
    <row r="85" hidden="1">
      <c r="A85" s="28" t="str">
        <f>All!A91</f>
        <v>Xyte</v>
      </c>
      <c r="B85" s="35" t="str">
        <f>All!B91</f>
        <v>$30m</v>
      </c>
      <c r="C85" s="28" t="str">
        <f>All!D91</f>
        <v>Teardown of Xyte's $30m Series A deck</v>
      </c>
      <c r="D85" s="31" t="str">
        <f>All!N91</f>
        <v>B2B</v>
      </c>
    </row>
    <row r="86" hidden="1">
      <c r="A86" s="28" t="str">
        <f>All!A92</f>
        <v>Equals</v>
      </c>
      <c r="B86" s="35" t="str">
        <f>All!B92</f>
        <v>$16m</v>
      </c>
      <c r="C86" s="28" t="str">
        <f>All!D92</f>
        <v>Teardown of Equals's $16m Series A deck</v>
      </c>
      <c r="D86" s="31" t="str">
        <f>All!N92</f>
        <v>B2B</v>
      </c>
    </row>
    <row r="87" hidden="1">
      <c r="A87" s="28" t="str">
        <f>All!A93</f>
        <v>CommandBar</v>
      </c>
      <c r="B87" s="35" t="str">
        <f>All!B93</f>
        <v>$4.8m</v>
      </c>
      <c r="C87" s="28" t="str">
        <f>All!D93</f>
        <v>Teardown of CommandBar's $4.8m Seed deck</v>
      </c>
      <c r="D87" s="31" t="str">
        <f>All!N93</f>
        <v>B2B</v>
      </c>
    </row>
    <row r="88" hidden="1">
      <c r="A88" s="28" t="str">
        <f>All!A94</f>
        <v>Astek Diagnostics</v>
      </c>
      <c r="B88" s="35" t="str">
        <f>All!B94</f>
        <v>$2m</v>
      </c>
      <c r="C88" s="28" t="str">
        <f>All!D94</f>
        <v>Teardown of Astek Diagnostics's $2m Seed deck</v>
      </c>
      <c r="D88" s="31" t="str">
        <f>All!N94</f>
        <v>B2B</v>
      </c>
    </row>
    <row r="89" hidden="1">
      <c r="A89" s="28" t="str">
        <f>All!A95</f>
        <v>SuperScale</v>
      </c>
      <c r="B89" s="35" t="str">
        <f>All!B95</f>
        <v>$4.4m</v>
      </c>
      <c r="C89" s="28" t="str">
        <f>All!D95</f>
        <v>Teardown of SuperScale's $4.4m Series A deck</v>
      </c>
      <c r="D89" s="31" t="str">
        <f>All!N95</f>
        <v>B2B</v>
      </c>
    </row>
    <row r="90" hidden="1">
      <c r="A90" s="28" t="str">
        <f>All!A96</f>
        <v>Protecto</v>
      </c>
      <c r="B90" s="35" t="str">
        <f>All!B96</f>
        <v>$4m</v>
      </c>
      <c r="C90" s="28" t="str">
        <f>All!D96</f>
        <v>Teardown of Protecto's $4m Seed deck</v>
      </c>
      <c r="D90" s="31" t="str">
        <f>All!N96</f>
        <v>B2B</v>
      </c>
    </row>
    <row r="91">
      <c r="A91" s="28" t="str">
        <f>All!A63</f>
        <v>Super </v>
      </c>
      <c r="B91" s="35" t="str">
        <f>All!B63</f>
        <v>$60m</v>
      </c>
      <c r="C91" s="28" t="str">
        <f>All!D63</f>
        <v>Teardown of Super 's $60m Series C deck</v>
      </c>
      <c r="D91" s="46" t="str">
        <f>All!N63</f>
        <v>B2C</v>
      </c>
    </row>
    <row r="92">
      <c r="A92" s="28" t="str">
        <f>All!A34</f>
        <v>Syneroid Technologies</v>
      </c>
      <c r="B92" s="35" t="str">
        <f>All!B34</f>
        <v>$500k</v>
      </c>
      <c r="C92" s="28" t="str">
        <f>All!D34</f>
        <v>Teardown of Syneroid Technologies's $500k Seed deck</v>
      </c>
      <c r="D92" s="46" t="str">
        <f>All!N34</f>
        <v>B2C</v>
      </c>
    </row>
    <row r="93" hidden="1">
      <c r="A93" s="28" t="str">
        <f>All!A99</f>
        <v>Xpanceo</v>
      </c>
      <c r="B93" s="35" t="str">
        <f>All!B99</f>
        <v>$40m</v>
      </c>
      <c r="C93" s="28" t="str">
        <f>All!D99</f>
        <v>Teardown of Xpanceo's $40m Seed deck</v>
      </c>
      <c r="D93" s="31" t="str">
        <f>All!N99</f>
        <v>B2B2C</v>
      </c>
    </row>
    <row r="94">
      <c r="A94" s="28" t="str">
        <f>All!A72</f>
        <v>Tanbii</v>
      </c>
      <c r="B94" s="35" t="str">
        <f>All!B72</f>
        <v>$1.5m</v>
      </c>
      <c r="C94" s="28" t="str">
        <f>All!D72</f>
        <v>Teardown of Tanbii's $1.5m Pre-seed deck</v>
      </c>
      <c r="D94" s="46" t="str">
        <f>All!N72</f>
        <v>B2C</v>
      </c>
    </row>
    <row r="95" hidden="1">
      <c r="A95" s="28" t="str">
        <f>All!A101</f>
        <v>NOQX</v>
      </c>
      <c r="B95" s="35" t="str">
        <f>All!B101</f>
        <v>$200k</v>
      </c>
      <c r="C95" s="28" t="str">
        <f>All!D101</f>
        <v>Teardown of NOQX's $200k Pre-seed deck</v>
      </c>
      <c r="D95" s="31" t="str">
        <f>All!N101</f>
        <v>B2B</v>
      </c>
    </row>
    <row r="96" hidden="1">
      <c r="A96" s="28" t="str">
        <f>All!A102</f>
        <v>Cloudsmith</v>
      </c>
      <c r="B96" s="35" t="str">
        <f>All!B102</f>
        <v>$15m</v>
      </c>
      <c r="C96" s="28" t="str">
        <f>All!D102</f>
        <v>Teardown of Cloudsmith's $15m Series A deck</v>
      </c>
      <c r="D96" s="31" t="str">
        <f>All!N102</f>
        <v>B2B</v>
      </c>
    </row>
    <row r="97" hidden="1">
      <c r="A97" s="28" t="str">
        <f>All!A103</f>
        <v>Goodcarbon</v>
      </c>
      <c r="B97" s="35" t="str">
        <f>All!B103</f>
        <v>$5.5m</v>
      </c>
      <c r="C97" s="28" t="str">
        <f>All!D103</f>
        <v>Teardown of Goodcarbon's $5.5m Seed deck</v>
      </c>
      <c r="D97" s="31" t="str">
        <f>All!N103</f>
        <v>B2B</v>
      </c>
    </row>
    <row r="98" hidden="1">
      <c r="A98" s="28" t="str">
        <f>All!A104</f>
        <v>Terra One</v>
      </c>
      <c r="B98" s="35" t="str">
        <f>All!B104</f>
        <v>$7.5m</v>
      </c>
      <c r="C98" s="28" t="str">
        <f>All!D104</f>
        <v>Teardown of Terra One's $7.5m Seed deck</v>
      </c>
      <c r="D98" s="31" t="str">
        <f>All!N104</f>
        <v>B2B</v>
      </c>
    </row>
    <row r="99">
      <c r="A99" s="28" t="str">
        <f>All!A73</f>
        <v>Tomorrow University of Applied Sciences</v>
      </c>
      <c r="B99" s="35" t="str">
        <f>All!B73</f>
        <v>$10m</v>
      </c>
      <c r="C99" s="28" t="str">
        <f>All!D73</f>
        <v>Teardown of Tomorrow University of Applied Sciences's $10m Series A deck</v>
      </c>
      <c r="D99" s="46" t="str">
        <f>All!N73</f>
        <v>B2C</v>
      </c>
    </row>
    <row r="100">
      <c r="A100" s="28" t="str">
        <f>All!A46</f>
        <v>Uber</v>
      </c>
      <c r="B100" s="35" t="str">
        <f>All!B46</f>
        <v>$200k</v>
      </c>
      <c r="C100" s="28" t="str">
        <f>All!D46</f>
        <v>Teardown of Uber's $200k Pre-seed deck</v>
      </c>
      <c r="D100" s="46" t="str">
        <f>All!N46</f>
        <v>B2C</v>
      </c>
    </row>
    <row r="101" hidden="1">
      <c r="A101" s="28" t="str">
        <f>All!A107</f>
        <v>Feel Therapeutics</v>
      </c>
      <c r="B101" s="35" t="str">
        <f>All!B107</f>
        <v>$3.5m</v>
      </c>
      <c r="C101" s="28" t="str">
        <f>All!D107</f>
        <v>Teardown of Feel Therapeutics's $3.5m Seed deck</v>
      </c>
      <c r="D101" s="31" t="str">
        <f>All!N107</f>
        <v>B2B2C</v>
      </c>
    </row>
    <row r="102" hidden="1">
      <c r="A102" s="28" t="str">
        <f>All!A108</f>
        <v>Megamod</v>
      </c>
      <c r="B102" s="35" t="str">
        <f>All!B108</f>
        <v>$1.9m</v>
      </c>
      <c r="C102" s="28" t="str">
        <f>All!D108</f>
        <v>Teardown of Megamod's $1.9m Seed deck</v>
      </c>
      <c r="D102" s="31" t="str">
        <f>All!N108</f>
        <v>B2C</v>
      </c>
    </row>
    <row r="103" hidden="1">
      <c r="A103" s="35" t="str">
        <f>All!A109</f>
        <v/>
      </c>
      <c r="B103" s="35" t="str">
        <f>All!B109</f>
        <v/>
      </c>
      <c r="C103" s="35" t="str">
        <f>All!D109</f>
        <v/>
      </c>
      <c r="D103" s="31" t="str">
        <f>All!N109</f>
        <v/>
      </c>
    </row>
    <row r="104" hidden="1">
      <c r="A104" s="35" t="str">
        <f>All!A110</f>
        <v/>
      </c>
      <c r="B104" s="35" t="str">
        <f>All!B110</f>
        <v/>
      </c>
      <c r="C104" s="35" t="str">
        <f>All!D110</f>
        <v/>
      </c>
      <c r="D104" s="31" t="str">
        <f>All!N110</f>
        <v/>
      </c>
    </row>
    <row r="105" hidden="1">
      <c r="A105" s="35" t="str">
        <f>All!A111</f>
        <v/>
      </c>
      <c r="B105" s="35" t="str">
        <f>All!B111</f>
        <v/>
      </c>
      <c r="C105" s="35" t="str">
        <f>All!D111</f>
        <v/>
      </c>
      <c r="D105" s="31" t="str">
        <f>All!N111</f>
        <v/>
      </c>
    </row>
    <row r="106" hidden="1">
      <c r="A106" s="35" t="str">
        <f>All!A112</f>
        <v/>
      </c>
      <c r="B106" s="35" t="str">
        <f>All!B112</f>
        <v/>
      </c>
      <c r="C106" s="35" t="str">
        <f>All!D112</f>
        <v/>
      </c>
      <c r="D106" s="31" t="str">
        <f>All!N112</f>
        <v/>
      </c>
    </row>
    <row r="107" hidden="1">
      <c r="A107" s="35" t="str">
        <f>All!A113</f>
        <v/>
      </c>
      <c r="B107" s="35" t="str">
        <f>All!B113</f>
        <v/>
      </c>
      <c r="C107" s="35" t="str">
        <f>All!D113</f>
        <v/>
      </c>
      <c r="D107" s="31" t="str">
        <f>All!N113</f>
        <v/>
      </c>
    </row>
    <row r="108" hidden="1">
      <c r="A108" s="35" t="str">
        <f>All!A114</f>
        <v/>
      </c>
      <c r="B108" s="35" t="str">
        <f>All!B114</f>
        <v/>
      </c>
      <c r="C108" s="35" t="str">
        <f>All!D114</f>
        <v/>
      </c>
      <c r="D108" s="31" t="str">
        <f>All!N114</f>
        <v/>
      </c>
    </row>
    <row r="109" hidden="1">
      <c r="A109" s="35" t="str">
        <f>All!A115</f>
        <v/>
      </c>
      <c r="B109" s="35" t="str">
        <f>All!B115</f>
        <v/>
      </c>
      <c r="C109" s="35" t="str">
        <f>All!D115</f>
        <v/>
      </c>
      <c r="D109" s="31" t="str">
        <f>All!N115</f>
        <v/>
      </c>
    </row>
    <row r="110" hidden="1">
      <c r="A110" s="35" t="str">
        <f>All!A116</f>
        <v/>
      </c>
      <c r="B110" s="35" t="str">
        <f>All!B116</f>
        <v/>
      </c>
      <c r="C110" s="35" t="str">
        <f>All!D116</f>
        <v/>
      </c>
      <c r="D110" s="31" t="str">
        <f>All!N116</f>
        <v/>
      </c>
    </row>
    <row r="111" hidden="1">
      <c r="A111" s="35" t="str">
        <f>All!A117</f>
        <v/>
      </c>
      <c r="B111" s="35" t="str">
        <f>All!B117</f>
        <v/>
      </c>
      <c r="C111" s="35" t="str">
        <f>All!D117</f>
        <v/>
      </c>
      <c r="D111" s="31" t="str">
        <f>All!N117</f>
        <v/>
      </c>
    </row>
    <row r="112" hidden="1">
      <c r="A112" s="35" t="str">
        <f>All!A118</f>
        <v/>
      </c>
      <c r="B112" s="35" t="str">
        <f>All!B118</f>
        <v/>
      </c>
      <c r="C112" s="35" t="str">
        <f>All!D118</f>
        <v/>
      </c>
      <c r="D112" s="31" t="str">
        <f>All!N118</f>
        <v/>
      </c>
    </row>
    <row r="113" hidden="1">
      <c r="A113" s="35" t="str">
        <f>All!A119</f>
        <v/>
      </c>
      <c r="B113" s="35" t="str">
        <f>All!B119</f>
        <v/>
      </c>
      <c r="C113" s="35" t="str">
        <f>All!D119</f>
        <v/>
      </c>
      <c r="D113" s="31" t="str">
        <f>All!N119</f>
        <v/>
      </c>
    </row>
    <row r="114" hidden="1">
      <c r="A114" s="35" t="str">
        <f>All!A120</f>
        <v/>
      </c>
      <c r="B114" s="35" t="str">
        <f>All!B120</f>
        <v/>
      </c>
      <c r="C114" s="35" t="str">
        <f>All!D120</f>
        <v/>
      </c>
      <c r="D114" s="31" t="str">
        <f>All!N120</f>
        <v/>
      </c>
    </row>
    <row r="115" hidden="1">
      <c r="A115" s="35" t="str">
        <f>All!A121</f>
        <v/>
      </c>
      <c r="B115" s="35" t="str">
        <f>All!B121</f>
        <v/>
      </c>
      <c r="C115" s="35" t="str">
        <f>All!D121</f>
        <v/>
      </c>
      <c r="D115" s="31" t="str">
        <f>All!N121</f>
        <v/>
      </c>
    </row>
    <row r="116" hidden="1">
      <c r="A116" s="35" t="str">
        <f>All!A122</f>
        <v/>
      </c>
      <c r="B116" s="35" t="str">
        <f>All!B122</f>
        <v/>
      </c>
      <c r="C116" s="35" t="str">
        <f>All!D122</f>
        <v/>
      </c>
      <c r="D116" s="31" t="str">
        <f>All!N122</f>
        <v/>
      </c>
    </row>
    <row r="117" hidden="1">
      <c r="A117" s="35" t="str">
        <f>All!A123</f>
        <v/>
      </c>
      <c r="B117" s="35" t="str">
        <f>All!B123</f>
        <v/>
      </c>
      <c r="C117" s="35" t="str">
        <f>All!D123</f>
        <v/>
      </c>
      <c r="D117" s="31" t="str">
        <f>All!N123</f>
        <v/>
      </c>
    </row>
    <row r="118" hidden="1">
      <c r="A118" s="35" t="str">
        <f>All!A124</f>
        <v/>
      </c>
      <c r="B118" s="35" t="str">
        <f>All!B124</f>
        <v/>
      </c>
      <c r="C118" s="35" t="str">
        <f>All!D124</f>
        <v/>
      </c>
      <c r="D118" s="31" t="str">
        <f>All!N124</f>
        <v/>
      </c>
    </row>
    <row r="119" hidden="1">
      <c r="A119" s="35" t="str">
        <f>All!A125</f>
        <v/>
      </c>
      <c r="B119" s="35" t="str">
        <f>All!B125</f>
        <v/>
      </c>
      <c r="C119" s="35" t="str">
        <f>All!D125</f>
        <v/>
      </c>
      <c r="D119" s="31" t="str">
        <f>All!N125</f>
        <v/>
      </c>
    </row>
    <row r="120" hidden="1">
      <c r="A120" s="35" t="str">
        <f>All!A126</f>
        <v/>
      </c>
      <c r="B120" s="35" t="str">
        <f>All!B126</f>
        <v/>
      </c>
      <c r="C120" s="35" t="str">
        <f>All!D126</f>
        <v/>
      </c>
      <c r="D120" s="31" t="str">
        <f>All!N126</f>
        <v/>
      </c>
    </row>
    <row r="121" hidden="1">
      <c r="A121" s="35" t="str">
        <f>All!A127</f>
        <v/>
      </c>
      <c r="B121" s="35" t="str">
        <f>All!B127</f>
        <v/>
      </c>
      <c r="C121" s="35" t="str">
        <f>All!D127</f>
        <v/>
      </c>
      <c r="D121" s="31" t="str">
        <f>All!N127</f>
        <v/>
      </c>
    </row>
    <row r="122" hidden="1">
      <c r="A122" s="35" t="str">
        <f>All!A128</f>
        <v/>
      </c>
      <c r="B122" s="35" t="str">
        <f>All!B128</f>
        <v/>
      </c>
      <c r="C122" s="35" t="str">
        <f>All!D128</f>
        <v/>
      </c>
      <c r="D122" s="31" t="str">
        <f>All!N128</f>
        <v/>
      </c>
    </row>
    <row r="123" hidden="1">
      <c r="A123" s="35" t="str">
        <f>All!A129</f>
        <v/>
      </c>
      <c r="B123" s="35" t="str">
        <f>All!B129</f>
        <v/>
      </c>
      <c r="C123" s="35" t="str">
        <f>All!D129</f>
        <v/>
      </c>
      <c r="D123" s="31" t="str">
        <f>All!N129</f>
        <v/>
      </c>
    </row>
    <row r="124" hidden="1">
      <c r="A124" s="35" t="str">
        <f>All!A130</f>
        <v/>
      </c>
      <c r="B124" s="35" t="str">
        <f>All!B130</f>
        <v/>
      </c>
      <c r="C124" s="35" t="str">
        <f>All!D130</f>
        <v/>
      </c>
      <c r="D124" s="31" t="str">
        <f>All!N130</f>
        <v/>
      </c>
    </row>
    <row r="125" hidden="1">
      <c r="A125" s="35" t="str">
        <f>All!A131</f>
        <v/>
      </c>
      <c r="B125" s="35" t="str">
        <f>All!B131</f>
        <v/>
      </c>
      <c r="C125" s="35" t="str">
        <f>All!D131</f>
        <v/>
      </c>
      <c r="D125" s="31" t="str">
        <f>All!N131</f>
        <v/>
      </c>
    </row>
    <row r="126" hidden="1">
      <c r="A126" s="35" t="str">
        <f>All!A132</f>
        <v/>
      </c>
      <c r="B126" s="35" t="str">
        <f>All!B132</f>
        <v/>
      </c>
      <c r="C126" s="35" t="str">
        <f>All!D132</f>
        <v/>
      </c>
      <c r="D126" s="31" t="str">
        <f>All!N132</f>
        <v/>
      </c>
    </row>
    <row r="127" hidden="1">
      <c r="A127" s="35" t="str">
        <f>All!A133</f>
        <v/>
      </c>
      <c r="B127" s="35" t="str">
        <f>All!B133</f>
        <v/>
      </c>
      <c r="C127" s="35" t="str">
        <f>All!D133</f>
        <v/>
      </c>
      <c r="D127" s="31" t="str">
        <f>All!N133</f>
        <v/>
      </c>
    </row>
    <row r="128" hidden="1">
      <c r="A128" s="35" t="str">
        <f>All!A134</f>
        <v/>
      </c>
      <c r="B128" s="35" t="str">
        <f>All!B134</f>
        <v/>
      </c>
      <c r="C128" s="35" t="str">
        <f>All!D134</f>
        <v/>
      </c>
      <c r="D128" s="31" t="str">
        <f>All!N134</f>
        <v/>
      </c>
    </row>
    <row r="129" hidden="1">
      <c r="A129" s="35" t="str">
        <f>All!A135</f>
        <v/>
      </c>
      <c r="B129" s="35" t="str">
        <f>All!B135</f>
        <v/>
      </c>
      <c r="C129" s="35" t="str">
        <f>All!D135</f>
        <v/>
      </c>
      <c r="D129" s="31" t="str">
        <f>All!N135</f>
        <v/>
      </c>
    </row>
    <row r="130" hidden="1">
      <c r="A130" s="35" t="str">
        <f>All!A136</f>
        <v/>
      </c>
      <c r="B130" s="35" t="str">
        <f>All!B136</f>
        <v/>
      </c>
      <c r="C130" s="35" t="str">
        <f>All!D136</f>
        <v/>
      </c>
      <c r="D130" s="31" t="str">
        <f>All!N136</f>
        <v/>
      </c>
    </row>
    <row r="131" hidden="1">
      <c r="A131" s="35" t="str">
        <f>All!A137</f>
        <v/>
      </c>
      <c r="B131" s="35" t="str">
        <f>All!B137</f>
        <v/>
      </c>
      <c r="C131" s="35" t="str">
        <f>All!D137</f>
        <v/>
      </c>
      <c r="D131" s="31" t="str">
        <f>All!N137</f>
        <v/>
      </c>
    </row>
    <row r="132" hidden="1">
      <c r="A132" s="35" t="str">
        <f>All!A138</f>
        <v/>
      </c>
      <c r="B132" s="35" t="str">
        <f>All!B138</f>
        <v/>
      </c>
      <c r="C132" s="35" t="str">
        <f>All!D138</f>
        <v/>
      </c>
      <c r="D132" s="31" t="str">
        <f>All!N138</f>
        <v/>
      </c>
    </row>
    <row r="133" hidden="1">
      <c r="A133" s="35" t="str">
        <f>All!A139</f>
        <v/>
      </c>
      <c r="B133" s="35" t="str">
        <f>All!B139</f>
        <v/>
      </c>
      <c r="C133" s="35" t="str">
        <f>All!D139</f>
        <v/>
      </c>
    </row>
    <row r="134" hidden="1">
      <c r="A134" s="35" t="str">
        <f>All!A140</f>
        <v/>
      </c>
      <c r="B134" s="35" t="str">
        <f>All!B140</f>
        <v/>
      </c>
      <c r="C134" s="35" t="str">
        <f>All!D140</f>
        <v/>
      </c>
    </row>
    <row r="135" hidden="1">
      <c r="A135" s="35" t="str">
        <f>All!A141</f>
        <v/>
      </c>
      <c r="B135" s="35" t="str">
        <f>All!B141</f>
        <v/>
      </c>
      <c r="C135" s="35" t="str">
        <f>All!D141</f>
        <v/>
      </c>
    </row>
    <row r="136" hidden="1">
      <c r="A136" s="35" t="str">
        <f>All!A142</f>
        <v/>
      </c>
      <c r="B136" s="35" t="str">
        <f>All!B142</f>
        <v/>
      </c>
      <c r="C136" s="35" t="str">
        <f>All!D142</f>
        <v/>
      </c>
    </row>
    <row r="137" hidden="1">
      <c r="A137" s="35" t="str">
        <f>All!A143</f>
        <v/>
      </c>
      <c r="B137" s="35" t="str">
        <f>All!B143</f>
        <v/>
      </c>
      <c r="C137" s="35" t="str">
        <f>All!D143</f>
        <v/>
      </c>
    </row>
    <row r="138" hidden="1">
      <c r="A138" s="35" t="str">
        <f>All!A144</f>
        <v/>
      </c>
      <c r="B138" s="35" t="str">
        <f>All!B144</f>
        <v/>
      </c>
      <c r="C138" s="35" t="str">
        <f>All!D144</f>
        <v/>
      </c>
    </row>
    <row r="139" hidden="1">
      <c r="A139" s="35" t="str">
        <f>All!A145</f>
        <v/>
      </c>
      <c r="B139" s="35" t="str">
        <f>All!B145</f>
        <v/>
      </c>
      <c r="C139" s="35" t="str">
        <f>All!D145</f>
        <v/>
      </c>
    </row>
    <row r="140" hidden="1">
      <c r="A140" s="35" t="str">
        <f>All!A146</f>
        <v/>
      </c>
      <c r="B140" s="35" t="str">
        <f>All!B146</f>
        <v/>
      </c>
      <c r="C140" s="35" t="str">
        <f>All!D146</f>
        <v/>
      </c>
    </row>
    <row r="141" hidden="1">
      <c r="A141" s="35" t="str">
        <f>All!A147</f>
        <v/>
      </c>
      <c r="B141" s="35" t="str">
        <f>All!B147</f>
        <v/>
      </c>
      <c r="C141" s="35" t="str">
        <f>All!D147</f>
        <v/>
      </c>
    </row>
    <row r="142" hidden="1">
      <c r="A142" s="35" t="str">
        <f>All!A148</f>
        <v/>
      </c>
      <c r="B142" s="35" t="str">
        <f>All!B148</f>
        <v/>
      </c>
      <c r="C142" s="35" t="str">
        <f>All!D148</f>
        <v/>
      </c>
    </row>
    <row r="143" hidden="1">
      <c r="A143" s="35" t="str">
        <f>All!A149</f>
        <v/>
      </c>
      <c r="B143" s="35" t="str">
        <f>All!B149</f>
        <v/>
      </c>
      <c r="C143" s="35" t="str">
        <f>All!D149</f>
        <v/>
      </c>
    </row>
    <row r="144" hidden="1">
      <c r="A144" s="35" t="str">
        <f>All!A150</f>
        <v/>
      </c>
      <c r="B144" s="35" t="str">
        <f>All!B150</f>
        <v/>
      </c>
      <c r="C144" s="35" t="str">
        <f>All!D150</f>
        <v/>
      </c>
    </row>
    <row r="145" hidden="1">
      <c r="A145" s="35" t="str">
        <f>All!A151</f>
        <v/>
      </c>
      <c r="B145" s="35" t="str">
        <f>All!B151</f>
        <v/>
      </c>
      <c r="C145" s="35" t="str">
        <f>All!D151</f>
        <v/>
      </c>
    </row>
    <row r="146" hidden="1">
      <c r="A146" s="35" t="str">
        <f>All!A152</f>
        <v/>
      </c>
      <c r="B146" s="35" t="str">
        <f>All!B152</f>
        <v/>
      </c>
      <c r="C146" s="35" t="str">
        <f>All!D152</f>
        <v/>
      </c>
    </row>
    <row r="147" hidden="1">
      <c r="A147" s="35" t="str">
        <f>All!A153</f>
        <v/>
      </c>
      <c r="B147" s="35" t="str">
        <f>All!B153</f>
        <v/>
      </c>
      <c r="C147" s="35" t="str">
        <f>All!D153</f>
        <v/>
      </c>
    </row>
    <row r="148" hidden="1">
      <c r="A148" s="35" t="str">
        <f>All!A154</f>
        <v/>
      </c>
      <c r="B148" s="35" t="str">
        <f>All!B154</f>
        <v/>
      </c>
      <c r="C148" s="35" t="str">
        <f>All!D154</f>
        <v/>
      </c>
    </row>
    <row r="149" hidden="1">
      <c r="A149" s="35" t="str">
        <f>All!A155</f>
        <v/>
      </c>
      <c r="B149" s="35" t="str">
        <f>All!B155</f>
        <v/>
      </c>
      <c r="C149" s="35" t="str">
        <f>All!D155</f>
        <v/>
      </c>
    </row>
    <row r="150" hidden="1">
      <c r="A150" s="35" t="str">
        <f>All!A156</f>
        <v/>
      </c>
      <c r="B150" s="35" t="str">
        <f>All!B156</f>
        <v/>
      </c>
      <c r="C150" s="35" t="str">
        <f>All!D156</f>
        <v/>
      </c>
    </row>
    <row r="151" hidden="1">
      <c r="A151" s="35" t="str">
        <f>All!A157</f>
        <v/>
      </c>
      <c r="B151" s="35" t="str">
        <f>All!B157</f>
        <v/>
      </c>
      <c r="C151" s="35" t="str">
        <f>All!D157</f>
        <v/>
      </c>
    </row>
    <row r="152" hidden="1">
      <c r="A152" s="35" t="str">
        <f>All!A158</f>
        <v/>
      </c>
      <c r="B152" s="35" t="str">
        <f>All!B158</f>
        <v/>
      </c>
      <c r="C152" s="35" t="str">
        <f>All!D158</f>
        <v/>
      </c>
    </row>
    <row r="153" hidden="1">
      <c r="A153" s="35" t="str">
        <f>All!A159</f>
        <v/>
      </c>
      <c r="B153" s="35" t="str">
        <f>All!B159</f>
        <v/>
      </c>
      <c r="C153" s="35" t="str">
        <f>All!D159</f>
        <v/>
      </c>
    </row>
    <row r="154" hidden="1">
      <c r="A154" s="35" t="str">
        <f>All!A160</f>
        <v/>
      </c>
      <c r="B154" s="35" t="str">
        <f>All!B160</f>
        <v/>
      </c>
      <c r="C154" s="35" t="str">
        <f>All!D160</f>
        <v/>
      </c>
    </row>
    <row r="155" hidden="1">
      <c r="A155" s="35" t="str">
        <f>All!A161</f>
        <v/>
      </c>
      <c r="B155" s="35" t="str">
        <f>All!B161</f>
        <v/>
      </c>
      <c r="C155" s="35" t="str">
        <f>All!D161</f>
        <v/>
      </c>
    </row>
    <row r="156" hidden="1">
      <c r="A156" s="35" t="str">
        <f>All!A162</f>
        <v/>
      </c>
      <c r="B156" s="35" t="str">
        <f>All!B162</f>
        <v/>
      </c>
      <c r="C156" s="35" t="str">
        <f>All!D162</f>
        <v/>
      </c>
    </row>
    <row r="157" hidden="1">
      <c r="A157" s="35" t="str">
        <f>All!A163</f>
        <v/>
      </c>
      <c r="B157" s="35" t="str">
        <f>All!B163</f>
        <v/>
      </c>
      <c r="C157" s="35" t="str">
        <f>All!D163</f>
        <v/>
      </c>
    </row>
    <row r="158" hidden="1">
      <c r="A158" s="35" t="str">
        <f>All!A164</f>
        <v/>
      </c>
      <c r="B158" s="35" t="str">
        <f>All!B164</f>
        <v/>
      </c>
      <c r="C158" s="35" t="str">
        <f>All!D164</f>
        <v/>
      </c>
    </row>
    <row r="159" hidden="1">
      <c r="A159" s="35" t="str">
        <f>All!A165</f>
        <v/>
      </c>
      <c r="B159" s="35" t="str">
        <f>All!B165</f>
        <v/>
      </c>
      <c r="C159" s="35" t="str">
        <f>All!D165</f>
        <v/>
      </c>
    </row>
    <row r="160" hidden="1">
      <c r="A160" s="35" t="str">
        <f>All!A166</f>
        <v/>
      </c>
      <c r="B160" s="35" t="str">
        <f>All!B166</f>
        <v/>
      </c>
      <c r="C160" s="35" t="str">
        <f>All!D166</f>
        <v/>
      </c>
    </row>
    <row r="161" hidden="1">
      <c r="A161" s="35" t="str">
        <f>All!A167</f>
        <v/>
      </c>
      <c r="B161" s="35" t="str">
        <f>All!B167</f>
        <v/>
      </c>
      <c r="C161" s="35" t="str">
        <f>All!D167</f>
        <v/>
      </c>
    </row>
    <row r="162" hidden="1">
      <c r="A162" s="35" t="str">
        <f>All!A168</f>
        <v/>
      </c>
      <c r="B162" s="35" t="str">
        <f>All!B168</f>
        <v/>
      </c>
      <c r="C162" s="35" t="str">
        <f>All!D168</f>
        <v/>
      </c>
    </row>
    <row r="163" hidden="1">
      <c r="A163" s="35" t="str">
        <f>All!A169</f>
        <v/>
      </c>
      <c r="B163" s="35" t="str">
        <f>All!B169</f>
        <v/>
      </c>
      <c r="C163" s="35" t="str">
        <f>All!D169</f>
        <v/>
      </c>
    </row>
    <row r="164" hidden="1">
      <c r="A164" s="35" t="str">
        <f>All!A170</f>
        <v/>
      </c>
      <c r="B164" s="35" t="str">
        <f>All!B170</f>
        <v/>
      </c>
      <c r="C164" s="35" t="str">
        <f>All!D170</f>
        <v/>
      </c>
    </row>
    <row r="165" hidden="1">
      <c r="A165" s="35" t="str">
        <f>All!A171</f>
        <v/>
      </c>
      <c r="B165" s="35" t="str">
        <f>All!B171</f>
        <v/>
      </c>
      <c r="C165" s="35" t="str">
        <f>All!D171</f>
        <v/>
      </c>
    </row>
    <row r="166" hidden="1">
      <c r="A166" s="35" t="str">
        <f>All!A172</f>
        <v/>
      </c>
      <c r="B166" s="35" t="str">
        <f>All!B172</f>
        <v/>
      </c>
      <c r="C166" s="35" t="str">
        <f>All!D172</f>
        <v/>
      </c>
    </row>
    <row r="167" hidden="1">
      <c r="A167" s="35" t="str">
        <f>All!A173</f>
        <v/>
      </c>
      <c r="B167" s="35" t="str">
        <f>All!B173</f>
        <v/>
      </c>
      <c r="C167" s="35" t="str">
        <f>All!D173</f>
        <v/>
      </c>
    </row>
    <row r="168" hidden="1">
      <c r="A168" s="35" t="str">
        <f>All!A174</f>
        <v/>
      </c>
      <c r="B168" s="35" t="str">
        <f>All!B174</f>
        <v/>
      </c>
      <c r="C168" s="35" t="str">
        <f>All!D174</f>
        <v/>
      </c>
    </row>
    <row r="169" hidden="1">
      <c r="A169" s="35" t="str">
        <f>All!A175</f>
        <v/>
      </c>
      <c r="B169" s="35" t="str">
        <f>All!B175</f>
        <v/>
      </c>
      <c r="C169" s="35" t="str">
        <f>All!D175</f>
        <v/>
      </c>
    </row>
    <row r="170" hidden="1">
      <c r="A170" s="35" t="str">
        <f>All!A176</f>
        <v/>
      </c>
      <c r="B170" s="35" t="str">
        <f>All!B176</f>
        <v/>
      </c>
      <c r="C170" s="35" t="str">
        <f>All!D176</f>
        <v/>
      </c>
    </row>
    <row r="171" hidden="1">
      <c r="A171" s="35" t="str">
        <f>All!A177</f>
        <v/>
      </c>
      <c r="B171" s="35" t="str">
        <f>All!B177</f>
        <v/>
      </c>
      <c r="C171" s="35" t="str">
        <f>All!D177</f>
        <v/>
      </c>
    </row>
    <row r="172" hidden="1">
      <c r="A172" s="35" t="str">
        <f>All!A178</f>
        <v/>
      </c>
      <c r="B172" s="35" t="str">
        <f>All!B178</f>
        <v/>
      </c>
      <c r="C172" s="35" t="str">
        <f>All!D178</f>
        <v/>
      </c>
    </row>
    <row r="173" hidden="1">
      <c r="A173" s="35" t="str">
        <f>All!A179</f>
        <v/>
      </c>
      <c r="B173" s="35" t="str">
        <f>All!B179</f>
        <v/>
      </c>
      <c r="C173" s="35" t="str">
        <f>All!D179</f>
        <v/>
      </c>
    </row>
    <row r="174" hidden="1">
      <c r="A174" s="35" t="str">
        <f>All!A180</f>
        <v/>
      </c>
      <c r="B174" s="35" t="str">
        <f>All!B180</f>
        <v/>
      </c>
      <c r="C174" s="35" t="str">
        <f>All!D180</f>
        <v/>
      </c>
    </row>
    <row r="175" hidden="1">
      <c r="A175" s="35" t="str">
        <f>All!A181</f>
        <v/>
      </c>
      <c r="B175" s="35" t="str">
        <f>All!B181</f>
        <v/>
      </c>
      <c r="C175" s="35" t="str">
        <f>All!D181</f>
        <v/>
      </c>
    </row>
    <row r="176" hidden="1">
      <c r="A176" s="35" t="str">
        <f>All!A182</f>
        <v/>
      </c>
      <c r="B176" s="35" t="str">
        <f>All!B182</f>
        <v/>
      </c>
      <c r="C176" s="35" t="str">
        <f>All!D182</f>
        <v/>
      </c>
    </row>
    <row r="177" hidden="1">
      <c r="A177" s="35" t="str">
        <f>All!A183</f>
        <v/>
      </c>
      <c r="B177" s="35" t="str">
        <f>All!B183</f>
        <v/>
      </c>
      <c r="C177" s="35" t="str">
        <f>All!D183</f>
        <v/>
      </c>
    </row>
    <row r="178" hidden="1">
      <c r="A178" s="35" t="str">
        <f>All!A184</f>
        <v/>
      </c>
      <c r="B178" s="35" t="str">
        <f>All!B184</f>
        <v/>
      </c>
      <c r="C178" s="35" t="str">
        <f>All!D184</f>
        <v/>
      </c>
    </row>
    <row r="179" hidden="1">
      <c r="A179" s="35" t="str">
        <f>All!A185</f>
        <v/>
      </c>
      <c r="B179" s="35" t="str">
        <f>All!B185</f>
        <v/>
      </c>
      <c r="C179" s="35" t="str">
        <f>All!D185</f>
        <v/>
      </c>
    </row>
    <row r="180" hidden="1">
      <c r="A180" s="35" t="str">
        <f>All!A186</f>
        <v/>
      </c>
      <c r="B180" s="35" t="str">
        <f>All!B186</f>
        <v/>
      </c>
      <c r="C180" s="35" t="str">
        <f>All!D186</f>
        <v/>
      </c>
    </row>
    <row r="181" hidden="1">
      <c r="A181" s="35" t="str">
        <f>All!A187</f>
        <v/>
      </c>
      <c r="B181" s="35" t="str">
        <f>All!B187</f>
        <v/>
      </c>
      <c r="C181" s="35" t="str">
        <f>All!D187</f>
        <v/>
      </c>
    </row>
    <row r="182" hidden="1">
      <c r="A182" s="35" t="str">
        <f>All!A188</f>
        <v/>
      </c>
      <c r="B182" s="35" t="str">
        <f>All!B188</f>
        <v/>
      </c>
      <c r="C182" s="35" t="str">
        <f>All!D188</f>
        <v/>
      </c>
    </row>
    <row r="183" hidden="1">
      <c r="A183" s="35" t="str">
        <f>All!A189</f>
        <v/>
      </c>
      <c r="B183" s="35" t="str">
        <f>All!B189</f>
        <v/>
      </c>
      <c r="C183" s="35" t="str">
        <f>All!D189</f>
        <v/>
      </c>
    </row>
    <row r="184" hidden="1">
      <c r="A184" s="35" t="str">
        <f>All!A190</f>
        <v/>
      </c>
      <c r="B184" s="35" t="str">
        <f>All!B190</f>
        <v/>
      </c>
      <c r="C184" s="35" t="str">
        <f>All!D190</f>
        <v/>
      </c>
    </row>
    <row r="185" hidden="1">
      <c r="A185" s="35" t="str">
        <f>All!A191</f>
        <v/>
      </c>
      <c r="B185" s="35" t="str">
        <f>All!B191</f>
        <v/>
      </c>
      <c r="C185" s="35" t="str">
        <f>All!D191</f>
        <v/>
      </c>
    </row>
    <row r="186" hidden="1">
      <c r="A186" s="35" t="str">
        <f>All!A192</f>
        <v/>
      </c>
      <c r="B186" s="35" t="str">
        <f>All!B192</f>
        <v/>
      </c>
      <c r="C186" s="35" t="str">
        <f>All!D192</f>
        <v/>
      </c>
    </row>
    <row r="187" hidden="1">
      <c r="A187" s="35" t="str">
        <f>All!A193</f>
        <v/>
      </c>
      <c r="B187" s="35" t="str">
        <f>All!B193</f>
        <v/>
      </c>
      <c r="C187" s="35" t="str">
        <f>All!D193</f>
        <v/>
      </c>
    </row>
    <row r="188" hidden="1">
      <c r="A188" s="35" t="str">
        <f>All!A194</f>
        <v/>
      </c>
      <c r="B188" s="35" t="str">
        <f>All!B194</f>
        <v/>
      </c>
      <c r="C188" s="35" t="str">
        <f>All!D194</f>
        <v/>
      </c>
    </row>
    <row r="189" hidden="1">
      <c r="A189" s="35" t="str">
        <f>All!A195</f>
        <v/>
      </c>
      <c r="B189" s="35" t="str">
        <f>All!B195</f>
        <v/>
      </c>
      <c r="C189" s="35" t="str">
        <f>All!D195</f>
        <v/>
      </c>
    </row>
    <row r="190" hidden="1">
      <c r="A190" s="35" t="str">
        <f>All!A196</f>
        <v/>
      </c>
      <c r="B190" s="35" t="str">
        <f>All!B196</f>
        <v/>
      </c>
      <c r="C190" s="35" t="str">
        <f>All!D196</f>
        <v/>
      </c>
    </row>
    <row r="191" hidden="1">
      <c r="A191" s="35" t="str">
        <f>All!A197</f>
        <v/>
      </c>
      <c r="B191" s="35" t="str">
        <f>All!B197</f>
        <v/>
      </c>
      <c r="C191" s="35" t="str">
        <f>All!D197</f>
        <v/>
      </c>
    </row>
    <row r="192" hidden="1">
      <c r="A192" s="35" t="str">
        <f>All!A198</f>
        <v/>
      </c>
      <c r="B192" s="35" t="str">
        <f>All!B198</f>
        <v/>
      </c>
      <c r="C192" s="35" t="str">
        <f>All!D198</f>
        <v/>
      </c>
    </row>
    <row r="193" hidden="1">
      <c r="A193" s="35" t="str">
        <f>All!A199</f>
        <v/>
      </c>
      <c r="B193" s="35" t="str">
        <f>All!B199</f>
        <v/>
      </c>
      <c r="C193" s="35" t="str">
        <f>All!D199</f>
        <v/>
      </c>
    </row>
    <row r="194" hidden="1">
      <c r="A194" s="35" t="str">
        <f>All!A200</f>
        <v/>
      </c>
      <c r="B194" s="35" t="str">
        <f>All!B200</f>
        <v/>
      </c>
      <c r="C194" s="35" t="str">
        <f>All!D200</f>
        <v/>
      </c>
    </row>
    <row r="195" hidden="1">
      <c r="A195" s="35" t="str">
        <f>All!A201</f>
        <v/>
      </c>
      <c r="B195" s="35" t="str">
        <f>All!B201</f>
        <v/>
      </c>
      <c r="C195" s="35" t="str">
        <f>All!D201</f>
        <v/>
      </c>
    </row>
    <row r="196" hidden="1">
      <c r="A196" s="35" t="str">
        <f>All!A202</f>
        <v/>
      </c>
      <c r="B196" s="35" t="str">
        <f>All!B202</f>
        <v/>
      </c>
      <c r="C196" s="35" t="str">
        <f>All!D202</f>
        <v/>
      </c>
    </row>
    <row r="197" hidden="1">
      <c r="A197" s="35" t="str">
        <f>All!A203</f>
        <v/>
      </c>
      <c r="B197" s="35" t="str">
        <f>All!B203</f>
        <v/>
      </c>
      <c r="C197" s="35" t="str">
        <f>All!D203</f>
        <v/>
      </c>
    </row>
    <row r="198" hidden="1">
      <c r="A198" s="35" t="str">
        <f>All!A204</f>
        <v/>
      </c>
      <c r="B198" s="35" t="str">
        <f>All!B204</f>
        <v/>
      </c>
      <c r="C198" s="35" t="str">
        <f>All!D204</f>
        <v/>
      </c>
    </row>
    <row r="199" hidden="1">
      <c r="A199" s="35" t="str">
        <f>All!A205</f>
        <v/>
      </c>
      <c r="B199" s="35" t="str">
        <f>All!B205</f>
        <v/>
      </c>
      <c r="C199" s="35" t="str">
        <f>All!D205</f>
        <v/>
      </c>
    </row>
  </sheetData>
  <autoFilter ref="$D$1:$D$199">
    <filterColumn colId="0">
      <filters>
        <filter val="B2C"/>
        <filter val="Target Customer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13"/>
    <col customWidth="1" min="2" max="2" width="6.75"/>
    <col customWidth="1" min="3" max="3" width="81.13"/>
  </cols>
  <sheetData>
    <row r="1">
      <c r="A1" s="36" t="s">
        <v>28</v>
      </c>
      <c r="B1" s="38"/>
      <c r="C1" s="38"/>
      <c r="D1" s="37"/>
    </row>
    <row r="2">
      <c r="A2" s="44" t="s">
        <v>13</v>
      </c>
      <c r="B2" s="45" t="s">
        <v>14</v>
      </c>
      <c r="C2" s="44" t="s">
        <v>16</v>
      </c>
      <c r="D2" s="45" t="str">
        <f>All!N8</f>
        <v>Target Customer</v>
      </c>
    </row>
    <row r="3" hidden="1">
      <c r="A3" s="28" t="str">
        <f>All!A9</f>
        <v>Minut</v>
      </c>
      <c r="B3" s="35" t="str">
        <f>All!B9</f>
        <v>$15m</v>
      </c>
      <c r="C3" s="28" t="str">
        <f>All!D9</f>
        <v>Teardown of Minut's $15m Series B deck</v>
      </c>
      <c r="D3" s="31" t="str">
        <f>All!N9</f>
        <v>B2C</v>
      </c>
    </row>
    <row r="4">
      <c r="A4" s="28" t="str">
        <f>All!A79</f>
        <v>Aether</v>
      </c>
      <c r="B4" s="35" t="str">
        <f>All!B79</f>
        <v>$49m</v>
      </c>
      <c r="C4" s="28" t="str">
        <f>All!D79</f>
        <v>Teardown of Aether's $49m Series A deck</v>
      </c>
      <c r="D4" s="46" t="str">
        <f>All!N79</f>
        <v>B2B</v>
      </c>
    </row>
    <row r="5" hidden="1">
      <c r="A5" s="28" t="str">
        <f>All!A11</f>
        <v>Dutch</v>
      </c>
      <c r="B5" s="35" t="str">
        <f>All!B11</f>
        <v>$20m</v>
      </c>
      <c r="C5" s="28" t="str">
        <f>All!D11</f>
        <v>Teardown of Dutch's $20m Series A deck</v>
      </c>
      <c r="D5" s="31" t="str">
        <f>All!N11</f>
        <v>B2C</v>
      </c>
    </row>
    <row r="6">
      <c r="A6" s="28" t="str">
        <f>All!A58</f>
        <v>Ageras</v>
      </c>
      <c r="B6" s="35" t="str">
        <f>All!B58</f>
        <v>$36m</v>
      </c>
      <c r="C6" s="28" t="str">
        <f>All!D58</f>
        <v>Teardown of Ageras's $36m Private Equity deck</v>
      </c>
      <c r="D6" s="46" t="str">
        <f>All!N58</f>
        <v>B2B</v>
      </c>
    </row>
    <row r="7">
      <c r="A7" s="28" t="str">
        <f>All!A69</f>
        <v>ANYbotics AG</v>
      </c>
      <c r="B7" s="35" t="str">
        <f>All!B69</f>
        <v>$50m</v>
      </c>
      <c r="C7" s="28" t="str">
        <f>All!D69</f>
        <v>Teardown of ANYbotics AG's $50m Series B deck</v>
      </c>
      <c r="D7" s="46" t="str">
        <f>All!N69</f>
        <v>B2B</v>
      </c>
    </row>
    <row r="8">
      <c r="A8" s="28" t="str">
        <f>All!A94</f>
        <v>Astek Diagnostics</v>
      </c>
      <c r="B8" s="35" t="str">
        <f>All!B94</f>
        <v>$2m</v>
      </c>
      <c r="C8" s="28" t="str">
        <f>All!D94</f>
        <v>Teardown of Astek Diagnostics's $2m Seed deck</v>
      </c>
      <c r="D8" s="46" t="str">
        <f>All!N94</f>
        <v>B2B</v>
      </c>
    </row>
    <row r="9">
      <c r="A9" s="28" t="str">
        <f>All!A12</f>
        <v>BoxedUp</v>
      </c>
      <c r="B9" s="35" t="str">
        <f>All!B12</f>
        <v>$2.3m</v>
      </c>
      <c r="C9" s="28" t="str">
        <f>All!D12</f>
        <v>Teardown of BoxedUp's $2.3m Seed deck</v>
      </c>
      <c r="D9" s="46" t="str">
        <f>All!N12</f>
        <v>B2B</v>
      </c>
    </row>
    <row r="10" hidden="1">
      <c r="A10" s="28" t="str">
        <f>All!A16</f>
        <v>Ergeon</v>
      </c>
      <c r="B10" s="35" t="str">
        <f>All!B16</f>
        <v>$40m</v>
      </c>
      <c r="C10" s="28" t="str">
        <f>All!D16</f>
        <v>Teardown of Ergeon's $40m Series B deck</v>
      </c>
      <c r="D10" s="31" t="str">
        <f>All!N16</f>
        <v>B2C</v>
      </c>
    </row>
    <row r="11">
      <c r="A11" s="28" t="str">
        <f>All!A71</f>
        <v>BusRight</v>
      </c>
      <c r="B11" s="35" t="str">
        <f>All!B71</f>
        <v>$7m</v>
      </c>
      <c r="C11" s="28" t="str">
        <f>All!D71</f>
        <v>Teardown of BusRight's $7m Series A deck</v>
      </c>
      <c r="D11" s="46" t="str">
        <f>All!N71</f>
        <v>B2B</v>
      </c>
    </row>
    <row r="12">
      <c r="A12" s="28" t="str">
        <f>All!A66</f>
        <v>CleanHub</v>
      </c>
      <c r="B12" s="35" t="str">
        <f>All!B66</f>
        <v>$7m</v>
      </c>
      <c r="C12" s="28" t="str">
        <f>All!D66</f>
        <v>Teardown of CleanHub's $7m Seed deck</v>
      </c>
      <c r="D12" s="46" t="str">
        <f>All!N66</f>
        <v>B2B</v>
      </c>
    </row>
    <row r="13" hidden="1">
      <c r="A13" s="28" t="str">
        <f>All!A19</f>
        <v>Enduring Planet</v>
      </c>
      <c r="B13" s="35" t="str">
        <f>All!B19</f>
        <v>$2m</v>
      </c>
      <c r="C13" s="28" t="str">
        <f>All!D19</f>
        <v>Teardown of Enduring Planet's $2m Seed deck</v>
      </c>
      <c r="D13" s="31" t="str">
        <f>All!N19</f>
        <v>B2B2C</v>
      </c>
    </row>
    <row r="14">
      <c r="A14" s="28" t="str">
        <f>All!A102</f>
        <v>Cloudsmith</v>
      </c>
      <c r="B14" s="35" t="str">
        <f>All!B102</f>
        <v>$15m</v>
      </c>
      <c r="C14" s="28" t="str">
        <f>All!D102</f>
        <v>Teardown of Cloudsmith's $15m Series A deck</v>
      </c>
      <c r="D14" s="46" t="str">
        <f>All!N102</f>
        <v>B2B</v>
      </c>
    </row>
    <row r="15" hidden="1">
      <c r="A15" s="28" t="str">
        <f>All!A21</f>
        <v>Arkive</v>
      </c>
      <c r="B15" s="35" t="str">
        <f>All!B21</f>
        <v>$9.7m</v>
      </c>
      <c r="C15" s="28" t="str">
        <f>All!D21</f>
        <v>Teardown of Arkive's $9.7m Seed deck</v>
      </c>
      <c r="D15" s="31" t="str">
        <f>All!N21</f>
        <v>B2C</v>
      </c>
    </row>
    <row r="16" hidden="1">
      <c r="A16" s="28" t="str">
        <f>All!A22</f>
        <v>Alto Pharmacy</v>
      </c>
      <c r="B16" s="35" t="str">
        <f>All!B22</f>
        <v>$200m</v>
      </c>
      <c r="C16" s="28" t="str">
        <f>All!D22</f>
        <v>Teardown of Alto Pharmacy's $200m Series E deck</v>
      </c>
      <c r="D16" s="31" t="str">
        <f>All!N22</f>
        <v>B2B2C</v>
      </c>
    </row>
    <row r="17" hidden="1">
      <c r="A17" s="28" t="str">
        <f>All!A23</f>
        <v>Glambook</v>
      </c>
      <c r="B17" s="35" t="str">
        <f>All!B23</f>
        <v>$2.5m</v>
      </c>
      <c r="C17" s="28" t="str">
        <f>All!D23</f>
        <v>Teardown of Glambook's $2.5m Seed deck</v>
      </c>
      <c r="D17" s="31" t="str">
        <f>All!N23</f>
        <v>B2B2C</v>
      </c>
    </row>
    <row r="18">
      <c r="A18" s="28" t="str">
        <f>All!A93</f>
        <v>CommandBar</v>
      </c>
      <c r="B18" s="35" t="str">
        <f>All!B93</f>
        <v>$4.8m</v>
      </c>
      <c r="C18" s="28" t="str">
        <f>All!D93</f>
        <v>Teardown of CommandBar's $4.8m Seed deck</v>
      </c>
      <c r="D18" s="46" t="str">
        <f>All!N93</f>
        <v>B2B</v>
      </c>
    </row>
    <row r="19">
      <c r="A19" s="28" t="str">
        <f>All!A61</f>
        <v>CulturePulse</v>
      </c>
      <c r="B19" s="35" t="str">
        <f>All!B61</f>
        <v>$1m</v>
      </c>
      <c r="C19" s="28" t="str">
        <f>All!D61</f>
        <v>Teardown of CulturePulse's $1m Seed deck</v>
      </c>
      <c r="D19" s="46" t="str">
        <f>All!N61</f>
        <v>B2B</v>
      </c>
    </row>
    <row r="20">
      <c r="A20" s="28" t="str">
        <f>All!A70</f>
        <v>DeckMatch</v>
      </c>
      <c r="B20" s="35" t="str">
        <f>All!B70</f>
        <v>$1m</v>
      </c>
      <c r="C20" s="28" t="str">
        <f>All!D70</f>
        <v>Teardown of DeckMatch's $1m Seed deck</v>
      </c>
      <c r="D20" s="46" t="str">
        <f>All!N70</f>
        <v>B2B</v>
      </c>
    </row>
    <row r="21">
      <c r="A21" s="28" t="str">
        <f>All!A89</f>
        <v>Doola</v>
      </c>
      <c r="B21" s="35" t="str">
        <f>All!B89</f>
        <v>$1m</v>
      </c>
      <c r="C21" s="28" t="str">
        <f>All!D89</f>
        <v>Teardown of Doola's $1m Series A extension deck</v>
      </c>
      <c r="D21" s="46" t="str">
        <f>All!N89</f>
        <v>B2B</v>
      </c>
    </row>
    <row r="22">
      <c r="A22" s="28" t="str">
        <f>All!A14</f>
        <v>Encore</v>
      </c>
      <c r="B22" s="35" t="str">
        <f>All!B14</f>
        <v>$3m</v>
      </c>
      <c r="C22" s="28" t="str">
        <f>All!D14</f>
        <v>Teardown of Encore's $3m Seed deck</v>
      </c>
      <c r="D22" s="46" t="str">
        <f>All!N14</f>
        <v>B2B</v>
      </c>
    </row>
    <row r="23">
      <c r="A23" s="28" t="str">
        <f>All!A92</f>
        <v>Equals</v>
      </c>
      <c r="B23" s="35" t="str">
        <f>All!B92</f>
        <v>$16m</v>
      </c>
      <c r="C23" s="28" t="str">
        <f>All!D92</f>
        <v>Teardown of Equals's $16m Series A deck</v>
      </c>
      <c r="D23" s="46" t="str">
        <f>All!N92</f>
        <v>B2B</v>
      </c>
    </row>
    <row r="24">
      <c r="A24" s="28" t="str">
        <f>All!A57</f>
        <v>Fibery</v>
      </c>
      <c r="B24" s="35" t="str">
        <f>All!B57</f>
        <v>$5.2m</v>
      </c>
      <c r="C24" s="28" t="str">
        <f>All!D57</f>
        <v>Teardown of Fibery's $5.2m Series A deck</v>
      </c>
      <c r="D24" s="46" t="str">
        <f>All!N57</f>
        <v>B2B</v>
      </c>
    </row>
    <row r="25">
      <c r="A25" s="28" t="str">
        <f>All!A82</f>
        <v>Fifth Dimension AI</v>
      </c>
      <c r="B25" s="35" t="str">
        <f>All!B82</f>
        <v>$2.8m</v>
      </c>
      <c r="C25" s="28" t="str">
        <f>All!D82</f>
        <v>Teardown of Fifth Dimension AI's $2.8m Seed deck</v>
      </c>
      <c r="D25" s="46" t="str">
        <f>All!N82</f>
        <v>B2B</v>
      </c>
    </row>
    <row r="26" hidden="1">
      <c r="A26" s="28" t="str">
        <f>All!A32</f>
        <v>Supliful</v>
      </c>
      <c r="B26" s="35" t="str">
        <f>All!B32</f>
        <v>$1m</v>
      </c>
      <c r="C26" s="28" t="str">
        <f>All!D32</f>
        <v>Teardown of Supliful's $1m Seed deck</v>
      </c>
      <c r="D26" s="31" t="str">
        <f>All!N32</f>
        <v>B2B2C</v>
      </c>
    </row>
    <row r="27" hidden="1">
      <c r="A27" s="28" t="str">
        <f>All!A33</f>
        <v>Palau Project </v>
      </c>
      <c r="B27" s="35" t="str">
        <f>All!B33</f>
        <v>$125k</v>
      </c>
      <c r="C27" s="28" t="str">
        <f>All!D33</f>
        <v>Teardown of Palau Project 's $125k Pre-seed deck</v>
      </c>
      <c r="D27" s="31" t="str">
        <f>All!N33</f>
        <v>B2C</v>
      </c>
    </row>
    <row r="28" hidden="1">
      <c r="A28" s="28" t="str">
        <f>All!A34</f>
        <v>Syneroid Technologies</v>
      </c>
      <c r="B28" s="35" t="str">
        <f>All!B34</f>
        <v>$500k</v>
      </c>
      <c r="C28" s="28" t="str">
        <f>All!D34</f>
        <v>Teardown of Syneroid Technologies's $500k Seed deck</v>
      </c>
      <c r="D28" s="31" t="str">
        <f>All!N34</f>
        <v>B2C</v>
      </c>
    </row>
    <row r="29">
      <c r="A29" s="28" t="str">
        <f>All!A24</f>
        <v>Five Flute</v>
      </c>
      <c r="B29" s="35" t="str">
        <f>All!B24</f>
        <v>$1.2m</v>
      </c>
      <c r="C29" s="28" t="str">
        <f>All!D24</f>
        <v>Teardown of Five Flute's $1.2m Pre-seed deck</v>
      </c>
      <c r="D29" s="46" t="str">
        <f>All!N24</f>
        <v>B2B</v>
      </c>
    </row>
    <row r="30">
      <c r="A30" s="28" t="str">
        <f>All!A20</f>
        <v>Forethought</v>
      </c>
      <c r="B30" s="35" t="str">
        <f>All!B20</f>
        <v>$65m</v>
      </c>
      <c r="C30" s="28" t="str">
        <f>All!D20</f>
        <v>Teardown of Forethought's $65m Series C deck</v>
      </c>
      <c r="D30" s="46" t="str">
        <f>All!N20</f>
        <v>B2B</v>
      </c>
    </row>
    <row r="31">
      <c r="A31" s="28" t="str">
        <f>All!A27</f>
        <v>Front</v>
      </c>
      <c r="B31" s="35" t="str">
        <f>All!B27</f>
        <v>$65m</v>
      </c>
      <c r="C31" s="28" t="str">
        <f>All!D27</f>
        <v>Teardown of Front's $65m Series D deck</v>
      </c>
      <c r="D31" s="46" t="str">
        <f>All!N27</f>
        <v>B2B</v>
      </c>
    </row>
    <row r="32" hidden="1">
      <c r="A32" s="28" t="str">
        <f>All!A38</f>
        <v>Rootine</v>
      </c>
      <c r="B32" s="35" t="str">
        <f>All!B38</f>
        <v>$10m</v>
      </c>
      <c r="C32" s="28" t="str">
        <f>All!D38</f>
        <v>Teardown of Rootine's $10m Series A deck</v>
      </c>
      <c r="D32" s="31" t="str">
        <f>All!N38</f>
        <v>B2C</v>
      </c>
    </row>
    <row r="33">
      <c r="A33" s="28" t="str">
        <f>All!A47</f>
        <v>Gable</v>
      </c>
      <c r="B33" s="35" t="str">
        <f>All!B47</f>
        <v>$16m</v>
      </c>
      <c r="C33" s="28" t="str">
        <f>All!D47</f>
        <v>Teardown of Gable's $16m Series A deck</v>
      </c>
      <c r="D33" s="46" t="str">
        <f>All!N47</f>
        <v>B2B</v>
      </c>
    </row>
    <row r="34" hidden="1">
      <c r="A34" s="28" t="str">
        <f>All!A40</f>
        <v>Card Blanch</v>
      </c>
      <c r="B34" s="35" t="str">
        <f>All!B40</f>
        <v>$460k</v>
      </c>
      <c r="C34" s="28" t="str">
        <f>All!D40</f>
        <v>Teardown of Card Blanch's $460k Angel deck</v>
      </c>
      <c r="D34" s="31" t="str">
        <f>All!N40</f>
        <v>B2C</v>
      </c>
    </row>
    <row r="35">
      <c r="A35" s="28" t="str">
        <f>All!A103</f>
        <v>Goodcarbon</v>
      </c>
      <c r="B35" s="35" t="str">
        <f>All!B103</f>
        <v>$5.5m</v>
      </c>
      <c r="C35" s="28" t="str">
        <f>All!D103</f>
        <v>Teardown of Goodcarbon's $5.5m Seed deck</v>
      </c>
      <c r="D35" s="46" t="str">
        <f>All!N103</f>
        <v>B2B</v>
      </c>
    </row>
    <row r="36" hidden="1">
      <c r="A36" s="28" t="str">
        <f>All!A42</f>
        <v>Orange</v>
      </c>
      <c r="B36" s="35" t="str">
        <f>All!B42</f>
        <v>$2.5m</v>
      </c>
      <c r="C36" s="28" t="str">
        <f>All!D42</f>
        <v>Teardown of Orange's $2.5m Seed deck</v>
      </c>
      <c r="D36" s="31" t="str">
        <f>All!N42</f>
        <v>B2B2C</v>
      </c>
    </row>
    <row r="37" hidden="1">
      <c r="A37" s="28" t="str">
        <f>All!A43</f>
        <v>Laoshi</v>
      </c>
      <c r="B37" s="35" t="str">
        <f>All!B43</f>
        <v>$570k</v>
      </c>
      <c r="C37" s="28" t="str">
        <f>All!D43</f>
        <v>Teardown of Laoshi's $570k Angel  deck</v>
      </c>
      <c r="D37" s="31" t="str">
        <f>All!N43</f>
        <v>B2C</v>
      </c>
    </row>
    <row r="38">
      <c r="A38" s="28" t="str">
        <f>All!A28</f>
        <v>Helu</v>
      </c>
      <c r="B38" s="35" t="str">
        <f>All!B28</f>
        <v>$9.8m</v>
      </c>
      <c r="C38" s="28" t="str">
        <f>All!D28</f>
        <v>Teardown of Helu's $9.8m Series A deck</v>
      </c>
      <c r="D38" s="46" t="str">
        <f>All!N28</f>
        <v>B2B</v>
      </c>
    </row>
    <row r="39">
      <c r="A39" s="28" t="str">
        <f>All!A54</f>
        <v>Honeycomb </v>
      </c>
      <c r="B39" s="35" t="str">
        <f>All!B54</f>
        <v>$50m</v>
      </c>
      <c r="C39" s="28" t="str">
        <f>All!D54</f>
        <v>Teardown of Honeycomb 's $50m Series D deck</v>
      </c>
      <c r="D39" s="46" t="str">
        <f>All!N54</f>
        <v>B2B</v>
      </c>
    </row>
    <row r="40" hidden="1">
      <c r="A40" s="28" t="str">
        <f>All!A46</f>
        <v>Uber</v>
      </c>
      <c r="B40" s="35" t="str">
        <f>All!B46</f>
        <v>$200k</v>
      </c>
      <c r="C40" s="28" t="str">
        <f>All!D46</f>
        <v>Teardown of Uber's $200k Pre-seed deck</v>
      </c>
      <c r="D40" s="31" t="str">
        <f>All!N46</f>
        <v>B2C</v>
      </c>
    </row>
    <row r="41">
      <c r="A41" s="28" t="str">
        <f>All!A37</f>
        <v>Hour One</v>
      </c>
      <c r="B41" s="35" t="str">
        <f>All!B37</f>
        <v>$20m</v>
      </c>
      <c r="C41" s="28" t="str">
        <f>All!D37</f>
        <v>Teardown of Hour One's $20m Series A deck</v>
      </c>
      <c r="D41" s="46" t="str">
        <f>All!N37</f>
        <v>B2B</v>
      </c>
    </row>
    <row r="42">
      <c r="A42" s="28" t="str">
        <f>All!A45</f>
        <v>Incymo AI</v>
      </c>
      <c r="B42" s="35" t="str">
        <f>All!B45</f>
        <v>$850k</v>
      </c>
      <c r="C42" s="28" t="str">
        <f>All!D45</f>
        <v>Teardown of Incymo AI's $850k Seed deck</v>
      </c>
      <c r="D42" s="46" t="str">
        <f>All!N45</f>
        <v>B2B</v>
      </c>
    </row>
    <row r="43" hidden="1">
      <c r="A43" s="28" t="str">
        <f>All!A49</f>
        <v>StudentFinance</v>
      </c>
      <c r="B43" s="35" t="str">
        <f>All!B49</f>
        <v>$41m</v>
      </c>
      <c r="C43" s="28" t="str">
        <f>All!D49</f>
        <v>Teardown of StudentFinance's $41m Series A deck</v>
      </c>
      <c r="D43" s="31" t="str">
        <f>All!N49</f>
        <v>B2B2C</v>
      </c>
    </row>
    <row r="44">
      <c r="A44" s="28" t="str">
        <f>All!A36</f>
        <v>Juro</v>
      </c>
      <c r="B44" s="35" t="str">
        <f>All!B36</f>
        <v>$23m</v>
      </c>
      <c r="C44" s="28" t="str">
        <f>All!D36</f>
        <v>Teardown of Juro's $23m Series B deck</v>
      </c>
      <c r="D44" s="46" t="str">
        <f>All!N36</f>
        <v>B2B</v>
      </c>
    </row>
    <row r="45">
      <c r="A45" s="28" t="str">
        <f>All!A13</f>
        <v>Lumigo</v>
      </c>
      <c r="B45" s="35" t="str">
        <f>All!B13</f>
        <v>$29m</v>
      </c>
      <c r="C45" s="28" t="str">
        <f>All!D13</f>
        <v>Teardown of Lumigo's $29m Series A deck</v>
      </c>
      <c r="D45" s="46" t="str">
        <f>All!N13</f>
        <v>B2B</v>
      </c>
    </row>
    <row r="46" hidden="1">
      <c r="A46" s="28" t="str">
        <f>All!A52</f>
        <v>Smalls</v>
      </c>
      <c r="B46" s="35" t="str">
        <f>All!B52</f>
        <v>$19m</v>
      </c>
      <c r="C46" s="28" t="str">
        <f>All!D52</f>
        <v>Teardown of Smalls's $19m Series B deck</v>
      </c>
      <c r="D46" s="31" t="str">
        <f>All!N52</f>
        <v>B2C</v>
      </c>
    </row>
    <row r="47" hidden="1">
      <c r="A47" s="28" t="str">
        <f>All!A53</f>
        <v>Diamond Standard</v>
      </c>
      <c r="B47" s="35" t="str">
        <f>All!B53</f>
        <v>$30m</v>
      </c>
      <c r="C47" s="28" t="str">
        <f>All!D53</f>
        <v>Teardown of Diamond Standard's $30m Series A deck</v>
      </c>
      <c r="D47" s="31" t="str">
        <f>All!N53</f>
        <v>B2C</v>
      </c>
    </row>
    <row r="48">
      <c r="A48" s="28" t="str">
        <f>All!A15</f>
        <v>Lunchbox</v>
      </c>
      <c r="B48" s="35" t="str">
        <f>All!B15</f>
        <v>$50m</v>
      </c>
      <c r="C48" s="28" t="str">
        <f>All!D15</f>
        <v>Teardown of Lunchbox's $50m Series B deck</v>
      </c>
      <c r="D48" s="46" t="str">
        <f>All!N15</f>
        <v>B2B</v>
      </c>
    </row>
    <row r="49" hidden="1">
      <c r="A49" s="28" t="str">
        <f>All!A55</f>
        <v>Careerist</v>
      </c>
      <c r="B49" s="35" t="str">
        <f>All!B55</f>
        <v>$8m</v>
      </c>
      <c r="C49" s="28" t="str">
        <f>All!D55</f>
        <v>Teardown of Careerist's $8m Series A deck</v>
      </c>
      <c r="D49" s="31" t="str">
        <f>All!N55</f>
        <v>B2C</v>
      </c>
    </row>
    <row r="50" hidden="1">
      <c r="A50" s="35" t="str">
        <f>All!A56</f>
        <v>The Perfect Pitch Deck</v>
      </c>
      <c r="B50" s="35" t="str">
        <f>All!B56</f>
        <v>$1m</v>
      </c>
      <c r="C50" s="28" t="str">
        <f>All!D56</f>
        <v>Teardown of The Perfect Pitch Deck's $1m Seed deck</v>
      </c>
      <c r="D50" s="31" t="str">
        <f>All!N56</f>
        <v>B2B2C</v>
      </c>
    </row>
    <row r="51">
      <c r="A51" s="28" t="str">
        <f>All!A39</f>
        <v>MedCrypt</v>
      </c>
      <c r="B51" s="35" t="str">
        <f>All!B39</f>
        <v>$25m</v>
      </c>
      <c r="C51" s="28" t="str">
        <f>All!D39</f>
        <v>Teardown of MedCrypt's $25m Series B deck</v>
      </c>
      <c r="D51" s="46" t="str">
        <f>All!N39</f>
        <v>B2B</v>
      </c>
    </row>
    <row r="52">
      <c r="A52" s="28" t="str">
        <f>All!A84</f>
        <v>Metafuels</v>
      </c>
      <c r="B52" s="35" t="str">
        <f>All!B84</f>
        <v>$8m</v>
      </c>
      <c r="C52" s="28" t="str">
        <f>All!D84</f>
        <v>Teardown of Metafuels's $8m Seed deck</v>
      </c>
      <c r="D52" s="46" t="str">
        <f>All!N84</f>
        <v>B2B</v>
      </c>
    </row>
    <row r="53" hidden="1">
      <c r="A53" s="28" t="str">
        <f>All!A59</f>
        <v>Faye</v>
      </c>
      <c r="B53" s="35" t="str">
        <f>All!B59</f>
        <v>$10m</v>
      </c>
      <c r="C53" s="28" t="str">
        <f>All!D59</f>
        <v>Teardown of Faye's $10m Series A deck</v>
      </c>
      <c r="D53" s="31" t="str">
        <f>All!N59</f>
        <v>B2C</v>
      </c>
    </row>
    <row r="54">
      <c r="A54" s="28" t="str">
        <f>All!A25</f>
        <v>Mi Terro</v>
      </c>
      <c r="B54" s="35" t="str">
        <f>All!B25</f>
        <v>$1.5m</v>
      </c>
      <c r="C54" s="28" t="str">
        <f>All!D25</f>
        <v>Teardown of Mi Terro's $1.5m Seed deck</v>
      </c>
      <c r="D54" s="46" t="str">
        <f>All!N25</f>
        <v>B2B</v>
      </c>
    </row>
    <row r="55">
      <c r="A55" s="28" t="str">
        <f>All!A48</f>
        <v>MiO Marketplace</v>
      </c>
      <c r="B55" s="35" t="str">
        <f>All!B48</f>
        <v>$550k</v>
      </c>
      <c r="C55" s="28" t="str">
        <f>All!D48</f>
        <v>Teardown of MiO Marketplace's $550k Angel deck</v>
      </c>
      <c r="D55" s="46" t="str">
        <f>All!N48</f>
        <v>B2B</v>
      </c>
    </row>
    <row r="56">
      <c r="A56" s="28" t="str">
        <f>All!A10</f>
        <v>Momentum</v>
      </c>
      <c r="B56" s="35" t="str">
        <f>All!B10</f>
        <v>$5m</v>
      </c>
      <c r="C56" s="28" t="str">
        <f>All!D10</f>
        <v>Teardown of Momentum's $5m Seed deck</v>
      </c>
      <c r="D56" s="46" t="str">
        <f>All!N10</f>
        <v>B2B</v>
      </c>
    </row>
    <row r="57" hidden="1">
      <c r="A57" s="28" t="str">
        <f>All!A63</f>
        <v>Super </v>
      </c>
      <c r="B57" s="35" t="str">
        <f>All!B63</f>
        <v>$60m</v>
      </c>
      <c r="C57" s="28" t="str">
        <f>All!D63</f>
        <v>Teardown of Super 's $60m Series C deck</v>
      </c>
      <c r="D57" s="31" t="str">
        <f>All!N63</f>
        <v>B2C</v>
      </c>
    </row>
    <row r="58">
      <c r="A58" s="28" t="str">
        <f>All!A62</f>
        <v>Netmaker</v>
      </c>
      <c r="B58" s="35" t="str">
        <f>All!B62</f>
        <v>$2.3m</v>
      </c>
      <c r="C58" s="28" t="str">
        <f>All!D62</f>
        <v>Teardown of Netmaker's $2.3m Seed deck</v>
      </c>
      <c r="D58" s="46" t="str">
        <f>All!N62</f>
        <v>B2B</v>
      </c>
    </row>
    <row r="59" hidden="1">
      <c r="A59" s="28" t="str">
        <f>All!A65</f>
        <v>GoodBuy Gear</v>
      </c>
      <c r="B59" s="35" t="str">
        <f>All!B65</f>
        <v>$5m</v>
      </c>
      <c r="C59" s="28" t="str">
        <f>All!D65</f>
        <v>Teardown of GoodBuy Gear's $5m Series A Extension deck</v>
      </c>
      <c r="D59" s="31" t="str">
        <f>All!N65</f>
        <v>B2C</v>
      </c>
    </row>
    <row r="60">
      <c r="A60" s="28" t="str">
        <f>All!A64</f>
        <v>Nokod Security</v>
      </c>
      <c r="B60" s="35" t="str">
        <f>All!B64</f>
        <v>$8m</v>
      </c>
      <c r="C60" s="28" t="str">
        <f>All!D64</f>
        <v>Teardown of Nokod Security's $8m Seed deck</v>
      </c>
      <c r="D60" s="46" t="str">
        <f>All!N64</f>
        <v>B2B</v>
      </c>
    </row>
    <row r="61">
      <c r="A61" s="28" t="str">
        <f>All!A101</f>
        <v>NOQX</v>
      </c>
      <c r="B61" s="35" t="str">
        <f>All!B101</f>
        <v>$200k</v>
      </c>
      <c r="C61" s="28" t="str">
        <f>All!D101</f>
        <v>Teardown of NOQX's $200k Pre-seed deck</v>
      </c>
      <c r="D61" s="46" t="str">
        <f>All!N101</f>
        <v>B2B</v>
      </c>
    </row>
    <row r="62">
      <c r="A62" s="28" t="str">
        <f>All!A51</f>
        <v>Northspyre</v>
      </c>
      <c r="B62" s="35" t="str">
        <f>All!B51</f>
        <v>$25m</v>
      </c>
      <c r="C62" s="28" t="str">
        <f>All!D51</f>
        <v>Teardown of Northspyre's $25m Series B deck</v>
      </c>
      <c r="D62" s="46" t="str">
        <f>All!N51</f>
        <v>B2B</v>
      </c>
    </row>
    <row r="63">
      <c r="A63" s="28" t="str">
        <f>All!A60</f>
        <v>Oii AI</v>
      </c>
      <c r="B63" s="35" t="str">
        <f>All!B60</f>
        <v>$1.85m</v>
      </c>
      <c r="C63" s="28" t="str">
        <f>All!D60</f>
        <v>Teardown of Oii AI's $1.85m Seed deck</v>
      </c>
      <c r="D63" s="46" t="str">
        <f>All!N60</f>
        <v>B2B</v>
      </c>
    </row>
    <row r="64">
      <c r="A64" s="28" t="str">
        <f>All!A29</f>
        <v>Party Round</v>
      </c>
      <c r="B64" s="35" t="str">
        <f>All!B29</f>
        <v>$7m</v>
      </c>
      <c r="C64" s="28" t="str">
        <f>All!D29</f>
        <v>Teardown of Party Round's $7m Angel deck</v>
      </c>
      <c r="D64" s="46" t="str">
        <f>All!N29</f>
        <v>B2B</v>
      </c>
    </row>
    <row r="65">
      <c r="A65" s="28" t="str">
        <f>All!A86</f>
        <v>Pepper Bio</v>
      </c>
      <c r="B65" s="35" t="str">
        <f>All!B86</f>
        <v>$6.5m</v>
      </c>
      <c r="C65" s="28" t="str">
        <f>All!D86</f>
        <v>Teardown of Pepper Bio's $6.5m Seed deck</v>
      </c>
      <c r="D65" s="46" t="str">
        <f>All!N86</f>
        <v>B2B</v>
      </c>
    </row>
    <row r="66" hidden="1">
      <c r="A66" s="28" t="str">
        <f>All!A72</f>
        <v>Tanbii</v>
      </c>
      <c r="B66" s="35" t="str">
        <f>All!B72</f>
        <v>$1.5m</v>
      </c>
      <c r="C66" s="28" t="str">
        <f>All!D72</f>
        <v>Teardown of Tanbii's $1.5m Pre-seed deck</v>
      </c>
      <c r="D66" s="31" t="str">
        <f>All!N72</f>
        <v>B2C</v>
      </c>
    </row>
    <row r="67" hidden="1">
      <c r="A67" s="28" t="str">
        <f>All!A73</f>
        <v>Tomorrow University of Applied Sciences</v>
      </c>
      <c r="B67" s="35" t="str">
        <f>All!B73</f>
        <v>$10m</v>
      </c>
      <c r="C67" s="28" t="str">
        <f>All!D73</f>
        <v>Teardown of Tomorrow University of Applied Sciences's $10m Series A deck</v>
      </c>
      <c r="D67" s="31" t="str">
        <f>All!N73</f>
        <v>B2C</v>
      </c>
    </row>
    <row r="68" hidden="1">
      <c r="A68" s="28" t="str">
        <f>All!A74</f>
        <v>Learn XYZ</v>
      </c>
      <c r="B68" s="35" t="str">
        <f>All!B74</f>
        <v>$3m</v>
      </c>
      <c r="C68" s="28" t="str">
        <f>All!D74</f>
        <v>Teardown of Learn XYZ's $3m Seed deck</v>
      </c>
      <c r="D68" s="31" t="str">
        <f>All!N74</f>
        <v>B2B</v>
      </c>
    </row>
    <row r="69">
      <c r="A69" s="28" t="str">
        <f>All!A90</f>
        <v>PhageLab</v>
      </c>
      <c r="B69" s="35" t="str">
        <f>All!B90</f>
        <v>$11m</v>
      </c>
      <c r="C69" s="28" t="str">
        <f>All!D90</f>
        <v>Teardown of PhageLab's $11m Series A deck</v>
      </c>
      <c r="D69" s="46" t="str">
        <f>All!N90</f>
        <v>B2B</v>
      </c>
    </row>
    <row r="70" hidden="1">
      <c r="A70" s="28" t="str">
        <f>All!A76</f>
        <v>point me</v>
      </c>
      <c r="B70" s="35" t="str">
        <f>All!B76</f>
        <v>$10m</v>
      </c>
      <c r="C70" s="28" t="str">
        <f>All!D76</f>
        <v>Teardown of point me's $10m Series A deck</v>
      </c>
      <c r="D70" s="31" t="str">
        <f>All!N76</f>
        <v>B2C</v>
      </c>
    </row>
    <row r="71" hidden="1">
      <c r="A71" s="28" t="str">
        <f>All!A77</f>
        <v>Lupiya</v>
      </c>
      <c r="B71" s="35" t="str">
        <f>All!B77</f>
        <v>$8.3m</v>
      </c>
      <c r="C71" s="28" t="str">
        <f>All!D77</f>
        <v>Teardown of Lupiya's $8.3m Series A deck</v>
      </c>
      <c r="D71" s="31" t="str">
        <f>All!N77</f>
        <v>B2C</v>
      </c>
    </row>
    <row r="72" hidden="1">
      <c r="A72" s="28" t="str">
        <f>All!A78</f>
        <v>SplitBrick</v>
      </c>
      <c r="B72" s="35" t="str">
        <f>All!B78</f>
        <v>$200k</v>
      </c>
      <c r="C72" s="28" t="str">
        <f>All!D78</f>
        <v>Teardown of SplitBrick's $200k Angel deck</v>
      </c>
      <c r="D72" s="31" t="str">
        <f>All!N78</f>
        <v>B2C</v>
      </c>
    </row>
    <row r="73">
      <c r="A73" s="28" t="str">
        <f>All!A81</f>
        <v>Phospholutions</v>
      </c>
      <c r="B73" s="35" t="str">
        <f>All!B81</f>
        <v>$10.15m</v>
      </c>
      <c r="C73" s="28" t="str">
        <f>All!D81</f>
        <v>Teardown of Phospholutions's $10.15m Series A extension deck</v>
      </c>
      <c r="D73" s="46" t="str">
        <f>All!N81</f>
        <v>B2B</v>
      </c>
    </row>
    <row r="74" hidden="1">
      <c r="A74" s="28" t="str">
        <f>All!A80</f>
        <v>CancerVAX</v>
      </c>
      <c r="B74" s="35" t="str">
        <f>All!B80</f>
        <v>$10m</v>
      </c>
      <c r="C74" s="28" t="str">
        <f>All!D80</f>
        <v>Teardown of CancerVAX's $10m Crowdfunding deck</v>
      </c>
      <c r="D74" s="31" t="str">
        <f>All!N80</f>
        <v>B2C</v>
      </c>
    </row>
    <row r="75">
      <c r="A75" s="28" t="str">
        <f>All!A50</f>
        <v>Prelaunch</v>
      </c>
      <c r="B75" s="35" t="str">
        <f>All!B50</f>
        <v>$1.5m</v>
      </c>
      <c r="C75" s="28" t="str">
        <f>All!D50</f>
        <v>Teardown of Prelaunch's $1.5m Seed deck</v>
      </c>
      <c r="D75" s="46" t="str">
        <f>All!N50</f>
        <v>B2B</v>
      </c>
    </row>
    <row r="76">
      <c r="A76" s="28" t="str">
        <f>All!A96</f>
        <v>Protecto</v>
      </c>
      <c r="B76" s="35" t="str">
        <f>All!B96</f>
        <v>$4m</v>
      </c>
      <c r="C76" s="28" t="str">
        <f>All!D96</f>
        <v>Teardown of Protecto's $4m Seed deck</v>
      </c>
      <c r="D76" s="46" t="str">
        <f>All!N96</f>
        <v>B2B</v>
      </c>
    </row>
    <row r="77">
      <c r="A77" s="28" t="str">
        <f>All!A87</f>
        <v>Qortex</v>
      </c>
      <c r="B77" s="35" t="str">
        <f>All!B87</f>
        <v>$10m</v>
      </c>
      <c r="C77" s="28" t="str">
        <f>All!D87</f>
        <v>Teardown of Qortex's $10m Seed deck</v>
      </c>
      <c r="D77" s="46" t="str">
        <f>All!N87</f>
        <v>B2B</v>
      </c>
    </row>
    <row r="78">
      <c r="A78" s="28" t="str">
        <f>All!A30</f>
        <v>Rokoko</v>
      </c>
      <c r="B78" s="35" t="str">
        <f>All!B30</f>
        <v>$3m</v>
      </c>
      <c r="C78" s="28" t="str">
        <f>All!D30</f>
        <v>Teardown of Rokoko's $3m Strategic Extension deck</v>
      </c>
      <c r="D78" s="46" t="str">
        <f>All!N30</f>
        <v>B2B</v>
      </c>
    </row>
    <row r="79" hidden="1">
      <c r="A79" s="28" t="str">
        <f>All!A85</f>
        <v>HomeCooks</v>
      </c>
      <c r="B79" s="35" t="str">
        <f>All!B85</f>
        <v>$3.2m</v>
      </c>
      <c r="C79" s="28" t="str">
        <f>All!D85</f>
        <v>Teardown of HomeCooks's $3.2m Seed deck</v>
      </c>
      <c r="D79" s="31" t="str">
        <f>All!N85</f>
        <v>B2C</v>
      </c>
    </row>
    <row r="80">
      <c r="A80" s="28" t="str">
        <f>All!A88</f>
        <v>Ryplzz</v>
      </c>
      <c r="B80" s="35" t="str">
        <f>All!B88</f>
        <v>$3m</v>
      </c>
      <c r="C80" s="28" t="str">
        <f>All!D88</f>
        <v>Teardown of Ryplzz's $3m Seed deck</v>
      </c>
      <c r="D80" s="46" t="str">
        <f>All!N88</f>
        <v>B2B</v>
      </c>
    </row>
    <row r="81">
      <c r="A81" s="28" t="str">
        <f>All!A35</f>
        <v>Sateliot</v>
      </c>
      <c r="B81" s="35" t="str">
        <f>All!B35</f>
        <v>$11.4m</v>
      </c>
      <c r="C81" s="28" t="str">
        <f>All!D35</f>
        <v>Teardown of Sateliot's $11.4m Series A deck</v>
      </c>
      <c r="D81" s="46" t="str">
        <f>All!N35</f>
        <v>B2B</v>
      </c>
    </row>
    <row r="82">
      <c r="A82" s="28" t="str">
        <f>All!A83</f>
        <v>Scalestack</v>
      </c>
      <c r="B82" s="35" t="str">
        <f>All!B83</f>
        <v>$1m</v>
      </c>
      <c r="C82" s="28" t="str">
        <f>All!D83</f>
        <v>Teardown of Scalestack's $1m Seed deck</v>
      </c>
      <c r="D82" s="46" t="str">
        <f>All!N83</f>
        <v>B2B</v>
      </c>
    </row>
    <row r="83">
      <c r="A83" s="28" t="str">
        <f>All!A41</f>
        <v>Scrintal</v>
      </c>
      <c r="B83" s="35" t="str">
        <f>All!B41</f>
        <v>$1m</v>
      </c>
      <c r="C83" s="28" t="str">
        <f>All!D41</f>
        <v>Teardown of Scrintal's $1m Seed deck</v>
      </c>
      <c r="D83" s="46" t="str">
        <f>All!N41</f>
        <v>B2B</v>
      </c>
    </row>
    <row r="84">
      <c r="A84" s="28" t="str">
        <f>All!A26</f>
        <v>SIMBA Chain</v>
      </c>
      <c r="B84" s="35" t="str">
        <f>All!B26</f>
        <v>$25m</v>
      </c>
      <c r="C84" s="28" t="str">
        <f>All!D26</f>
        <v>Teardown of SIMBA Chain's $25m Series A deck</v>
      </c>
      <c r="D84" s="46" t="str">
        <f>All!N26</f>
        <v>B2B</v>
      </c>
    </row>
    <row r="85">
      <c r="A85" s="28" t="str">
        <f>All!A44</f>
        <v>Spinach</v>
      </c>
      <c r="B85" s="35" t="str">
        <f>All!B44</f>
        <v>$3.5m</v>
      </c>
      <c r="C85" s="28" t="str">
        <f>All!D44</f>
        <v>Teardown of Spinach's $3.5m Seed deck</v>
      </c>
      <c r="D85" s="46" t="str">
        <f>All!N44</f>
        <v>B2B</v>
      </c>
    </row>
    <row r="86">
      <c r="A86" s="28" t="str">
        <f>All!A68</f>
        <v>SquadTrip</v>
      </c>
      <c r="B86" s="35" t="str">
        <f>All!B68</f>
        <v>$1.5m</v>
      </c>
      <c r="C86" s="28" t="str">
        <f>All!D68</f>
        <v>Teardown of SquadTrip's $1.5m Pre-seed deck</v>
      </c>
      <c r="D86" s="46" t="str">
        <f>All!N68</f>
        <v>B2B</v>
      </c>
    </row>
    <row r="87">
      <c r="A87" s="28" t="str">
        <f>All!A95</f>
        <v>SuperScale</v>
      </c>
      <c r="B87" s="35" t="str">
        <f>All!B95</f>
        <v>$4.4m</v>
      </c>
      <c r="C87" s="28" t="str">
        <f>All!D95</f>
        <v>Teardown of SuperScale's $4.4m Series A deck</v>
      </c>
      <c r="D87" s="46" t="str">
        <f>All!N95</f>
        <v>B2B</v>
      </c>
    </row>
    <row r="88">
      <c r="A88" s="28" t="str">
        <f>All!A104</f>
        <v>Terra One</v>
      </c>
      <c r="B88" s="35" t="str">
        <f>All!B104</f>
        <v>$7.5m</v>
      </c>
      <c r="C88" s="28" t="str">
        <f>All!D104</f>
        <v>Teardown of Terra One's $7.5m Seed deck</v>
      </c>
      <c r="D88" s="46" t="str">
        <f>All!N104</f>
        <v>B2B</v>
      </c>
    </row>
    <row r="89">
      <c r="A89" s="28" t="str">
        <f>All!A75</f>
        <v>Transcend</v>
      </c>
      <c r="B89" s="35" t="str">
        <f>All!B75</f>
        <v>$20m</v>
      </c>
      <c r="C89" s="28" t="str">
        <f>All!D75</f>
        <v>Teardown of Transcend's $20m Series B deck</v>
      </c>
      <c r="D89" s="46" t="str">
        <f>All!N75</f>
        <v>B2B</v>
      </c>
    </row>
    <row r="90">
      <c r="A90" s="28" t="str">
        <f>All!A67</f>
        <v>Unito</v>
      </c>
      <c r="B90" s="35" t="str">
        <f>All!B67</f>
        <v>$20m</v>
      </c>
      <c r="C90" s="28" t="str">
        <f>All!D67</f>
        <v>Teardown of Unito's $20m Series B deck</v>
      </c>
      <c r="D90" s="46" t="str">
        <f>All!N67</f>
        <v>B2B</v>
      </c>
    </row>
    <row r="91" hidden="1">
      <c r="A91" s="28" t="str">
        <f>All!A97</f>
        <v>Plantee Innovations</v>
      </c>
      <c r="B91" s="35" t="str">
        <f>All!B97</f>
        <v>$1.4m</v>
      </c>
      <c r="C91" s="28" t="str">
        <f>All!D97</f>
        <v>Teardown of Plantee Innovations's $1.4m Seed deck</v>
      </c>
      <c r="D91" s="31" t="str">
        <f>All!N97</f>
        <v>B2C</v>
      </c>
    </row>
    <row r="92" hidden="1">
      <c r="A92" s="28" t="str">
        <f>All!A98</f>
        <v>Queerie</v>
      </c>
      <c r="B92" s="35" t="str">
        <f>All!B98</f>
        <v>$300k</v>
      </c>
      <c r="C92" s="28" t="str">
        <f>All!D98</f>
        <v>Teardown of Queerie's $300k Pre-seed deck</v>
      </c>
      <c r="D92" s="31" t="str">
        <f>All!N98</f>
        <v>B2C</v>
      </c>
    </row>
    <row r="93" hidden="1">
      <c r="A93" s="28" t="str">
        <f>All!A99</f>
        <v>Xpanceo</v>
      </c>
      <c r="B93" s="35" t="str">
        <f>All!B99</f>
        <v>$40m</v>
      </c>
      <c r="C93" s="28" t="str">
        <f>All!D99</f>
        <v>Teardown of Xpanceo's $40m Seed deck</v>
      </c>
      <c r="D93" s="31" t="str">
        <f>All!N99</f>
        <v>B2B2C</v>
      </c>
    </row>
    <row r="94" hidden="1">
      <c r="A94" s="28" t="str">
        <f>All!A100</f>
        <v>Geodesic.Life</v>
      </c>
      <c r="B94" s="35" t="str">
        <f>All!B100</f>
        <v>$500k</v>
      </c>
      <c r="C94" s="28" t="str">
        <f>All!D100</f>
        <v>Teardown of Geodesic.Life's $500k Pre-seed deck</v>
      </c>
      <c r="D94" s="31" t="str">
        <f>All!N100</f>
        <v>B2C</v>
      </c>
    </row>
    <row r="95">
      <c r="A95" s="28" t="str">
        <f>All!A31</f>
        <v>Vori</v>
      </c>
      <c r="B95" s="35" t="str">
        <f>All!B31</f>
        <v>$10m</v>
      </c>
      <c r="C95" s="28" t="str">
        <f>All!D31</f>
        <v>Teardown of Vori's $10m Series A deck</v>
      </c>
      <c r="D95" s="46" t="str">
        <f>All!N31</f>
        <v>B2B</v>
      </c>
    </row>
    <row r="96">
      <c r="A96" s="28" t="str">
        <f>All!A17</f>
        <v>WayRay</v>
      </c>
      <c r="B96" s="35" t="str">
        <f>All!B17</f>
        <v>$80m</v>
      </c>
      <c r="C96" s="28" t="str">
        <f>All!D17</f>
        <v>Teardown of WayRay's $80m Series E deck</v>
      </c>
      <c r="D96" s="46" t="str">
        <f>All!N17</f>
        <v>B2B</v>
      </c>
    </row>
    <row r="97">
      <c r="A97" s="28" t="str">
        <f>All!A18</f>
        <v>Wilco</v>
      </c>
      <c r="B97" s="35" t="str">
        <f>All!B18</f>
        <v>$7m</v>
      </c>
      <c r="C97" s="28" t="str">
        <f>All!D18</f>
        <v>Teardown of Wilco's $7m Seed deck</v>
      </c>
      <c r="D97" s="46" t="str">
        <f>All!N18</f>
        <v>B2B</v>
      </c>
    </row>
    <row r="98">
      <c r="A98" s="28" t="str">
        <f>All!A91</f>
        <v>Xyte</v>
      </c>
      <c r="B98" s="35" t="str">
        <f>All!B91</f>
        <v>$30m</v>
      </c>
      <c r="C98" s="28" t="str">
        <f>All!D91</f>
        <v>Teardown of Xyte's $30m Series A deck</v>
      </c>
      <c r="D98" s="46" t="str">
        <f>All!N91</f>
        <v>B2B</v>
      </c>
    </row>
    <row r="99" hidden="1">
      <c r="A99" s="28" t="str">
        <f>All!A105</f>
        <v>RAW Dating App</v>
      </c>
      <c r="B99" s="35" t="str">
        <f>All!B105</f>
        <v>$3m</v>
      </c>
      <c r="C99" s="28" t="str">
        <f>All!D105</f>
        <v>Teardown of RAW Dating App's $3m Angel deck</v>
      </c>
      <c r="D99" s="31" t="str">
        <f>All!N105</f>
        <v>B2C</v>
      </c>
    </row>
    <row r="100" hidden="1">
      <c r="A100" s="28" t="str">
        <f>All!A106</f>
        <v>Kinnect</v>
      </c>
      <c r="B100" s="35" t="str">
        <f>All!B106</f>
        <v>$250k</v>
      </c>
      <c r="C100" s="28" t="str">
        <f>All!D106</f>
        <v>Teardown of Kinnect's $250k Angel deck</v>
      </c>
      <c r="D100" s="31" t="str">
        <f>All!N106</f>
        <v>B2C</v>
      </c>
    </row>
    <row r="101" hidden="1">
      <c r="A101" s="28" t="str">
        <f>All!A107</f>
        <v>Feel Therapeutics</v>
      </c>
      <c r="B101" s="35" t="str">
        <f>All!B107</f>
        <v>$3.5m</v>
      </c>
      <c r="C101" s="28" t="str">
        <f>All!D107</f>
        <v>Teardown of Feel Therapeutics's $3.5m Seed deck</v>
      </c>
      <c r="D101" s="31" t="str">
        <f>All!N107</f>
        <v>B2B2C</v>
      </c>
    </row>
    <row r="102" hidden="1">
      <c r="A102" s="28" t="str">
        <f>All!A108</f>
        <v>Megamod</v>
      </c>
      <c r="B102" s="35" t="str">
        <f>All!B108</f>
        <v>$1.9m</v>
      </c>
      <c r="C102" s="28" t="str">
        <f>All!D108</f>
        <v>Teardown of Megamod's $1.9m Seed deck</v>
      </c>
      <c r="D102" s="31" t="str">
        <f>All!N108</f>
        <v>B2C</v>
      </c>
    </row>
    <row r="103" hidden="1">
      <c r="A103" s="35" t="str">
        <f>All!A109</f>
        <v/>
      </c>
      <c r="B103" s="35" t="str">
        <f>All!B109</f>
        <v/>
      </c>
      <c r="C103" s="35" t="str">
        <f>All!D109</f>
        <v/>
      </c>
      <c r="D103" s="31" t="str">
        <f>All!N109</f>
        <v/>
      </c>
    </row>
    <row r="104" hidden="1">
      <c r="A104" s="35" t="str">
        <f>All!A110</f>
        <v/>
      </c>
      <c r="B104" s="35" t="str">
        <f>All!B110</f>
        <v/>
      </c>
      <c r="C104" s="35" t="str">
        <f>All!D110</f>
        <v/>
      </c>
      <c r="D104" s="31" t="str">
        <f>All!N110</f>
        <v/>
      </c>
    </row>
    <row r="105" hidden="1">
      <c r="A105" s="35" t="str">
        <f>All!A111</f>
        <v/>
      </c>
      <c r="B105" s="35" t="str">
        <f>All!B111</f>
        <v/>
      </c>
      <c r="C105" s="35" t="str">
        <f>All!D111</f>
        <v/>
      </c>
      <c r="D105" s="31" t="str">
        <f>All!N111</f>
        <v/>
      </c>
    </row>
    <row r="106" hidden="1">
      <c r="A106" s="35" t="str">
        <f>All!A112</f>
        <v/>
      </c>
      <c r="B106" s="35" t="str">
        <f>All!B112</f>
        <v/>
      </c>
      <c r="C106" s="35" t="str">
        <f>All!D112</f>
        <v/>
      </c>
      <c r="D106" s="31" t="str">
        <f>All!N112</f>
        <v/>
      </c>
    </row>
    <row r="107" hidden="1">
      <c r="A107" s="35" t="str">
        <f>All!A113</f>
        <v/>
      </c>
      <c r="B107" s="35" t="str">
        <f>All!B113</f>
        <v/>
      </c>
      <c r="C107" s="35" t="str">
        <f>All!D113</f>
        <v/>
      </c>
      <c r="D107" s="31" t="str">
        <f>All!N113</f>
        <v/>
      </c>
    </row>
    <row r="108" hidden="1">
      <c r="A108" s="35" t="str">
        <f>All!A114</f>
        <v/>
      </c>
      <c r="B108" s="35" t="str">
        <f>All!B114</f>
        <v/>
      </c>
      <c r="C108" s="35" t="str">
        <f>All!D114</f>
        <v/>
      </c>
      <c r="D108" s="31" t="str">
        <f>All!N114</f>
        <v/>
      </c>
    </row>
    <row r="109" hidden="1">
      <c r="A109" s="35" t="str">
        <f>All!A115</f>
        <v/>
      </c>
      <c r="B109" s="35" t="str">
        <f>All!B115</f>
        <v/>
      </c>
      <c r="C109" s="35" t="str">
        <f>All!D115</f>
        <v/>
      </c>
      <c r="D109" s="31" t="str">
        <f>All!N115</f>
        <v/>
      </c>
    </row>
    <row r="110" hidden="1">
      <c r="A110" s="35" t="str">
        <f>All!A116</f>
        <v/>
      </c>
      <c r="B110" s="35" t="str">
        <f>All!B116</f>
        <v/>
      </c>
      <c r="C110" s="35" t="str">
        <f>All!D116</f>
        <v/>
      </c>
      <c r="D110" s="31" t="str">
        <f>All!N116</f>
        <v/>
      </c>
    </row>
    <row r="111" hidden="1">
      <c r="A111" s="35" t="str">
        <f>All!A117</f>
        <v/>
      </c>
      <c r="B111" s="35" t="str">
        <f>All!B117</f>
        <v/>
      </c>
      <c r="C111" s="35" t="str">
        <f>All!D117</f>
        <v/>
      </c>
      <c r="D111" s="31" t="str">
        <f>All!N117</f>
        <v/>
      </c>
    </row>
    <row r="112" hidden="1">
      <c r="A112" s="35" t="str">
        <f>All!A118</f>
        <v/>
      </c>
      <c r="B112" s="35" t="str">
        <f>All!B118</f>
        <v/>
      </c>
      <c r="C112" s="35" t="str">
        <f>All!D118</f>
        <v/>
      </c>
      <c r="D112" s="31" t="str">
        <f>All!N118</f>
        <v/>
      </c>
    </row>
    <row r="113" hidden="1">
      <c r="A113" s="35" t="str">
        <f>All!A119</f>
        <v/>
      </c>
      <c r="B113" s="35" t="str">
        <f>All!B119</f>
        <v/>
      </c>
      <c r="C113" s="35" t="str">
        <f>All!D119</f>
        <v/>
      </c>
      <c r="D113" s="31" t="str">
        <f>All!N119</f>
        <v/>
      </c>
    </row>
    <row r="114" hidden="1">
      <c r="A114" s="35" t="str">
        <f>All!A120</f>
        <v/>
      </c>
      <c r="B114" s="35" t="str">
        <f>All!B120</f>
        <v/>
      </c>
      <c r="C114" s="35" t="str">
        <f>All!D120</f>
        <v/>
      </c>
      <c r="D114" s="31" t="str">
        <f>All!N120</f>
        <v/>
      </c>
    </row>
    <row r="115" hidden="1">
      <c r="A115" s="35" t="str">
        <f>All!A121</f>
        <v/>
      </c>
      <c r="B115" s="35" t="str">
        <f>All!B121</f>
        <v/>
      </c>
      <c r="C115" s="35" t="str">
        <f>All!D121</f>
        <v/>
      </c>
      <c r="D115" s="31" t="str">
        <f>All!N121</f>
        <v/>
      </c>
    </row>
    <row r="116" hidden="1">
      <c r="A116" s="35" t="str">
        <f>All!A122</f>
        <v/>
      </c>
      <c r="B116" s="35" t="str">
        <f>All!B122</f>
        <v/>
      </c>
      <c r="C116" s="35" t="str">
        <f>All!D122</f>
        <v/>
      </c>
      <c r="D116" s="31" t="str">
        <f>All!N122</f>
        <v/>
      </c>
    </row>
    <row r="117" hidden="1">
      <c r="A117" s="35" t="str">
        <f>All!A123</f>
        <v/>
      </c>
      <c r="B117" s="35" t="str">
        <f>All!B123</f>
        <v/>
      </c>
      <c r="C117" s="35" t="str">
        <f>All!D123</f>
        <v/>
      </c>
      <c r="D117" s="31" t="str">
        <f>All!N123</f>
        <v/>
      </c>
    </row>
    <row r="118" hidden="1">
      <c r="A118" s="35" t="str">
        <f>All!A124</f>
        <v/>
      </c>
      <c r="B118" s="35" t="str">
        <f>All!B124</f>
        <v/>
      </c>
      <c r="C118" s="35" t="str">
        <f>All!D124</f>
        <v/>
      </c>
      <c r="D118" s="31" t="str">
        <f>All!N124</f>
        <v/>
      </c>
    </row>
    <row r="119" hidden="1">
      <c r="A119" s="35" t="str">
        <f>All!A125</f>
        <v/>
      </c>
      <c r="B119" s="35" t="str">
        <f>All!B125</f>
        <v/>
      </c>
      <c r="C119" s="35" t="str">
        <f>All!D125</f>
        <v/>
      </c>
      <c r="D119" s="31" t="str">
        <f>All!N125</f>
        <v/>
      </c>
    </row>
    <row r="120" hidden="1">
      <c r="A120" s="35" t="str">
        <f>All!A126</f>
        <v/>
      </c>
      <c r="B120" s="35" t="str">
        <f>All!B126</f>
        <v/>
      </c>
      <c r="C120" s="35" t="str">
        <f>All!D126</f>
        <v/>
      </c>
      <c r="D120" s="31" t="str">
        <f>All!N126</f>
        <v/>
      </c>
    </row>
    <row r="121" hidden="1">
      <c r="A121" s="35" t="str">
        <f>All!A127</f>
        <v/>
      </c>
      <c r="B121" s="35" t="str">
        <f>All!B127</f>
        <v/>
      </c>
      <c r="C121" s="35" t="str">
        <f>All!D127</f>
        <v/>
      </c>
      <c r="D121" s="31" t="str">
        <f>All!N127</f>
        <v/>
      </c>
    </row>
    <row r="122" hidden="1">
      <c r="A122" s="35" t="str">
        <f>All!A128</f>
        <v/>
      </c>
      <c r="B122" s="35" t="str">
        <f>All!B128</f>
        <v/>
      </c>
      <c r="C122" s="35" t="str">
        <f>All!D128</f>
        <v/>
      </c>
      <c r="D122" s="31" t="str">
        <f>All!N128</f>
        <v/>
      </c>
    </row>
    <row r="123" hidden="1">
      <c r="A123" s="35" t="str">
        <f>All!A129</f>
        <v/>
      </c>
      <c r="B123" s="35" t="str">
        <f>All!B129</f>
        <v/>
      </c>
      <c r="C123" s="35" t="str">
        <f>All!D129</f>
        <v/>
      </c>
      <c r="D123" s="31" t="str">
        <f>All!N129</f>
        <v/>
      </c>
    </row>
    <row r="124" hidden="1">
      <c r="A124" s="35" t="str">
        <f>All!A130</f>
        <v/>
      </c>
      <c r="B124" s="35" t="str">
        <f>All!B130</f>
        <v/>
      </c>
      <c r="C124" s="35" t="str">
        <f>All!D130</f>
        <v/>
      </c>
      <c r="D124" s="31" t="str">
        <f>All!N130</f>
        <v/>
      </c>
    </row>
    <row r="125" hidden="1">
      <c r="A125" s="35" t="str">
        <f>All!A131</f>
        <v/>
      </c>
      <c r="B125" s="35" t="str">
        <f>All!B131</f>
        <v/>
      </c>
      <c r="C125" s="35" t="str">
        <f>All!D131</f>
        <v/>
      </c>
      <c r="D125" s="31" t="str">
        <f>All!N131</f>
        <v/>
      </c>
    </row>
    <row r="126" hidden="1">
      <c r="A126" s="35" t="str">
        <f>All!A132</f>
        <v/>
      </c>
      <c r="B126" s="35" t="str">
        <f>All!B132</f>
        <v/>
      </c>
      <c r="C126" s="35" t="str">
        <f>All!D132</f>
        <v/>
      </c>
      <c r="D126" s="31" t="str">
        <f>All!N132</f>
        <v/>
      </c>
    </row>
    <row r="127" hidden="1">
      <c r="A127" s="35" t="str">
        <f>All!A133</f>
        <v/>
      </c>
      <c r="B127" s="35" t="str">
        <f>All!B133</f>
        <v/>
      </c>
      <c r="C127" s="35" t="str">
        <f>All!D133</f>
        <v/>
      </c>
      <c r="D127" s="31" t="str">
        <f>All!N133</f>
        <v/>
      </c>
    </row>
    <row r="128" hidden="1">
      <c r="A128" s="35" t="str">
        <f>All!A134</f>
        <v/>
      </c>
      <c r="B128" s="35" t="str">
        <f>All!B134</f>
        <v/>
      </c>
      <c r="C128" s="35" t="str">
        <f>All!D134</f>
        <v/>
      </c>
      <c r="D128" s="31" t="str">
        <f>All!N134</f>
        <v/>
      </c>
    </row>
    <row r="129" hidden="1">
      <c r="A129" s="35" t="str">
        <f>All!A135</f>
        <v/>
      </c>
      <c r="B129" s="35" t="str">
        <f>All!B135</f>
        <v/>
      </c>
      <c r="C129" s="35" t="str">
        <f>All!D135</f>
        <v/>
      </c>
      <c r="D129" s="31" t="str">
        <f>All!N135</f>
        <v/>
      </c>
    </row>
    <row r="130" hidden="1">
      <c r="A130" s="35" t="str">
        <f>All!A136</f>
        <v/>
      </c>
      <c r="B130" s="35" t="str">
        <f>All!B136</f>
        <v/>
      </c>
      <c r="C130" s="35" t="str">
        <f>All!D136</f>
        <v/>
      </c>
      <c r="D130" s="31" t="str">
        <f>All!N136</f>
        <v/>
      </c>
    </row>
    <row r="131" hidden="1">
      <c r="A131" s="35" t="str">
        <f>All!A137</f>
        <v/>
      </c>
      <c r="B131" s="35" t="str">
        <f>All!B137</f>
        <v/>
      </c>
      <c r="C131" s="35" t="str">
        <f>All!D137</f>
        <v/>
      </c>
      <c r="D131" s="31" t="str">
        <f>All!N137</f>
        <v/>
      </c>
    </row>
    <row r="132" hidden="1">
      <c r="A132" s="35" t="str">
        <f>All!A138</f>
        <v/>
      </c>
      <c r="B132" s="35" t="str">
        <f>All!B138</f>
        <v/>
      </c>
      <c r="C132" s="35" t="str">
        <f>All!D138</f>
        <v/>
      </c>
      <c r="D132" s="31" t="str">
        <f>All!N138</f>
        <v/>
      </c>
    </row>
    <row r="133" hidden="1">
      <c r="A133" s="35" t="str">
        <f>All!A139</f>
        <v/>
      </c>
      <c r="B133" s="35" t="str">
        <f>All!B139</f>
        <v/>
      </c>
      <c r="C133" s="35" t="str">
        <f>All!D139</f>
        <v/>
      </c>
    </row>
    <row r="134" hidden="1">
      <c r="A134" s="35" t="str">
        <f>All!A140</f>
        <v/>
      </c>
      <c r="B134" s="35" t="str">
        <f>All!B140</f>
        <v/>
      </c>
      <c r="C134" s="35" t="str">
        <f>All!D140</f>
        <v/>
      </c>
    </row>
    <row r="135" hidden="1">
      <c r="A135" s="35" t="str">
        <f>All!A141</f>
        <v/>
      </c>
      <c r="B135" s="35" t="str">
        <f>All!B141</f>
        <v/>
      </c>
      <c r="C135" s="35" t="str">
        <f>All!D141</f>
        <v/>
      </c>
    </row>
    <row r="136" hidden="1">
      <c r="A136" s="35" t="str">
        <f>All!A142</f>
        <v/>
      </c>
      <c r="B136" s="35" t="str">
        <f>All!B142</f>
        <v/>
      </c>
      <c r="C136" s="35" t="str">
        <f>All!D142</f>
        <v/>
      </c>
    </row>
    <row r="137" hidden="1">
      <c r="A137" s="35" t="str">
        <f>All!A143</f>
        <v/>
      </c>
      <c r="B137" s="35" t="str">
        <f>All!B143</f>
        <v/>
      </c>
      <c r="C137" s="35" t="str">
        <f>All!D143</f>
        <v/>
      </c>
    </row>
    <row r="138" hidden="1">
      <c r="A138" s="35" t="str">
        <f>All!A144</f>
        <v/>
      </c>
      <c r="B138" s="35" t="str">
        <f>All!B144</f>
        <v/>
      </c>
      <c r="C138" s="35" t="str">
        <f>All!D144</f>
        <v/>
      </c>
    </row>
    <row r="139" hidden="1">
      <c r="A139" s="35" t="str">
        <f>All!A145</f>
        <v/>
      </c>
      <c r="B139" s="35" t="str">
        <f>All!B145</f>
        <v/>
      </c>
      <c r="C139" s="35" t="str">
        <f>All!D145</f>
        <v/>
      </c>
    </row>
    <row r="140" hidden="1">
      <c r="A140" s="35" t="str">
        <f>All!A146</f>
        <v/>
      </c>
      <c r="B140" s="35" t="str">
        <f>All!B146</f>
        <v/>
      </c>
      <c r="C140" s="35" t="str">
        <f>All!D146</f>
        <v/>
      </c>
    </row>
    <row r="141" hidden="1">
      <c r="A141" s="35" t="str">
        <f>All!A147</f>
        <v/>
      </c>
      <c r="B141" s="35" t="str">
        <f>All!B147</f>
        <v/>
      </c>
      <c r="C141" s="35" t="str">
        <f>All!D147</f>
        <v/>
      </c>
    </row>
    <row r="142" hidden="1">
      <c r="A142" s="35" t="str">
        <f>All!A148</f>
        <v/>
      </c>
      <c r="B142" s="35" t="str">
        <f>All!B148</f>
        <v/>
      </c>
      <c r="C142" s="35" t="str">
        <f>All!D148</f>
        <v/>
      </c>
    </row>
    <row r="143" hidden="1">
      <c r="A143" s="35" t="str">
        <f>All!A149</f>
        <v/>
      </c>
      <c r="B143" s="35" t="str">
        <f>All!B149</f>
        <v/>
      </c>
      <c r="C143" s="35" t="str">
        <f>All!D149</f>
        <v/>
      </c>
    </row>
    <row r="144" hidden="1">
      <c r="A144" s="35" t="str">
        <f>All!A150</f>
        <v/>
      </c>
      <c r="B144" s="35" t="str">
        <f>All!B150</f>
        <v/>
      </c>
      <c r="C144" s="35" t="str">
        <f>All!D150</f>
        <v/>
      </c>
    </row>
    <row r="145" hidden="1">
      <c r="A145" s="35" t="str">
        <f>All!A151</f>
        <v/>
      </c>
      <c r="B145" s="35" t="str">
        <f>All!B151</f>
        <v/>
      </c>
      <c r="C145" s="35" t="str">
        <f>All!D151</f>
        <v/>
      </c>
    </row>
    <row r="146" hidden="1">
      <c r="A146" s="35" t="str">
        <f>All!A152</f>
        <v/>
      </c>
      <c r="B146" s="35" t="str">
        <f>All!B152</f>
        <v/>
      </c>
      <c r="C146" s="35" t="str">
        <f>All!D152</f>
        <v/>
      </c>
    </row>
    <row r="147" hidden="1">
      <c r="A147" s="35" t="str">
        <f>All!A153</f>
        <v/>
      </c>
      <c r="B147" s="35" t="str">
        <f>All!B153</f>
        <v/>
      </c>
      <c r="C147" s="35" t="str">
        <f>All!D153</f>
        <v/>
      </c>
    </row>
    <row r="148" hidden="1">
      <c r="A148" s="35" t="str">
        <f>All!A154</f>
        <v/>
      </c>
      <c r="B148" s="35" t="str">
        <f>All!B154</f>
        <v/>
      </c>
      <c r="C148" s="35" t="str">
        <f>All!D154</f>
        <v/>
      </c>
    </row>
    <row r="149" hidden="1">
      <c r="A149" s="35" t="str">
        <f>All!A155</f>
        <v/>
      </c>
      <c r="B149" s="35" t="str">
        <f>All!B155</f>
        <v/>
      </c>
      <c r="C149" s="35" t="str">
        <f>All!D155</f>
        <v/>
      </c>
    </row>
    <row r="150" hidden="1">
      <c r="A150" s="35" t="str">
        <f>All!A156</f>
        <v/>
      </c>
      <c r="B150" s="35" t="str">
        <f>All!B156</f>
        <v/>
      </c>
      <c r="C150" s="35" t="str">
        <f>All!D156</f>
        <v/>
      </c>
    </row>
    <row r="151" hidden="1">
      <c r="A151" s="35" t="str">
        <f>All!A157</f>
        <v/>
      </c>
      <c r="B151" s="35" t="str">
        <f>All!B157</f>
        <v/>
      </c>
      <c r="C151" s="35" t="str">
        <f>All!D157</f>
        <v/>
      </c>
    </row>
    <row r="152" hidden="1">
      <c r="A152" s="35" t="str">
        <f>All!A158</f>
        <v/>
      </c>
      <c r="B152" s="35" t="str">
        <f>All!B158</f>
        <v/>
      </c>
      <c r="C152" s="35" t="str">
        <f>All!D158</f>
        <v/>
      </c>
    </row>
    <row r="153" hidden="1">
      <c r="A153" s="35" t="str">
        <f>All!A159</f>
        <v/>
      </c>
      <c r="B153" s="35" t="str">
        <f>All!B159</f>
        <v/>
      </c>
      <c r="C153" s="35" t="str">
        <f>All!D159</f>
        <v/>
      </c>
    </row>
    <row r="154" hidden="1">
      <c r="A154" s="35" t="str">
        <f>All!A160</f>
        <v/>
      </c>
      <c r="B154" s="35" t="str">
        <f>All!B160</f>
        <v/>
      </c>
      <c r="C154" s="35" t="str">
        <f>All!D160</f>
        <v/>
      </c>
    </row>
    <row r="155" hidden="1">
      <c r="A155" s="35" t="str">
        <f>All!A161</f>
        <v/>
      </c>
      <c r="B155" s="35" t="str">
        <f>All!B161</f>
        <v/>
      </c>
      <c r="C155" s="35" t="str">
        <f>All!D161</f>
        <v/>
      </c>
    </row>
    <row r="156" hidden="1">
      <c r="A156" s="35" t="str">
        <f>All!A162</f>
        <v/>
      </c>
      <c r="B156" s="35" t="str">
        <f>All!B162</f>
        <v/>
      </c>
      <c r="C156" s="35" t="str">
        <f>All!D162</f>
        <v/>
      </c>
    </row>
    <row r="157" hidden="1">
      <c r="A157" s="35" t="str">
        <f>All!A163</f>
        <v/>
      </c>
      <c r="B157" s="35" t="str">
        <f>All!B163</f>
        <v/>
      </c>
      <c r="C157" s="35" t="str">
        <f>All!D163</f>
        <v/>
      </c>
    </row>
    <row r="158" hidden="1">
      <c r="A158" s="35" t="str">
        <f>All!A164</f>
        <v/>
      </c>
      <c r="B158" s="35" t="str">
        <f>All!B164</f>
        <v/>
      </c>
      <c r="C158" s="35" t="str">
        <f>All!D164</f>
        <v/>
      </c>
    </row>
    <row r="159" hidden="1">
      <c r="A159" s="35" t="str">
        <f>All!A165</f>
        <v/>
      </c>
      <c r="B159" s="35" t="str">
        <f>All!B165</f>
        <v/>
      </c>
      <c r="C159" s="35" t="str">
        <f>All!D165</f>
        <v/>
      </c>
    </row>
    <row r="160" hidden="1">
      <c r="A160" s="35" t="str">
        <f>All!A166</f>
        <v/>
      </c>
      <c r="B160" s="35" t="str">
        <f>All!B166</f>
        <v/>
      </c>
      <c r="C160" s="35" t="str">
        <f>All!D166</f>
        <v/>
      </c>
    </row>
    <row r="161" hidden="1">
      <c r="A161" s="35" t="str">
        <f>All!A167</f>
        <v/>
      </c>
      <c r="B161" s="35" t="str">
        <f>All!B167</f>
        <v/>
      </c>
      <c r="C161" s="35" t="str">
        <f>All!D167</f>
        <v/>
      </c>
    </row>
    <row r="162" hidden="1">
      <c r="A162" s="35" t="str">
        <f>All!A168</f>
        <v/>
      </c>
      <c r="B162" s="35" t="str">
        <f>All!B168</f>
        <v/>
      </c>
      <c r="C162" s="35" t="str">
        <f>All!D168</f>
        <v/>
      </c>
    </row>
    <row r="163" hidden="1">
      <c r="A163" s="35" t="str">
        <f>All!A169</f>
        <v/>
      </c>
      <c r="B163" s="35" t="str">
        <f>All!B169</f>
        <v/>
      </c>
      <c r="C163" s="35" t="str">
        <f>All!D169</f>
        <v/>
      </c>
    </row>
    <row r="164" hidden="1">
      <c r="A164" s="35" t="str">
        <f>All!A170</f>
        <v/>
      </c>
      <c r="B164" s="35" t="str">
        <f>All!B170</f>
        <v/>
      </c>
      <c r="C164" s="35" t="str">
        <f>All!D170</f>
        <v/>
      </c>
    </row>
    <row r="165" hidden="1">
      <c r="A165" s="35" t="str">
        <f>All!A171</f>
        <v/>
      </c>
      <c r="B165" s="35" t="str">
        <f>All!B171</f>
        <v/>
      </c>
      <c r="C165" s="35" t="str">
        <f>All!D171</f>
        <v/>
      </c>
    </row>
    <row r="166" hidden="1">
      <c r="A166" s="35" t="str">
        <f>All!A172</f>
        <v/>
      </c>
      <c r="B166" s="35" t="str">
        <f>All!B172</f>
        <v/>
      </c>
      <c r="C166" s="35" t="str">
        <f>All!D172</f>
        <v/>
      </c>
    </row>
    <row r="167" hidden="1">
      <c r="A167" s="35" t="str">
        <f>All!A173</f>
        <v/>
      </c>
      <c r="B167" s="35" t="str">
        <f>All!B173</f>
        <v/>
      </c>
      <c r="C167" s="35" t="str">
        <f>All!D173</f>
        <v/>
      </c>
    </row>
    <row r="168" hidden="1">
      <c r="A168" s="35" t="str">
        <f>All!A174</f>
        <v/>
      </c>
      <c r="B168" s="35" t="str">
        <f>All!B174</f>
        <v/>
      </c>
      <c r="C168" s="35" t="str">
        <f>All!D174</f>
        <v/>
      </c>
    </row>
    <row r="169" hidden="1">
      <c r="A169" s="35" t="str">
        <f>All!A175</f>
        <v/>
      </c>
      <c r="B169" s="35" t="str">
        <f>All!B175</f>
        <v/>
      </c>
      <c r="C169" s="35" t="str">
        <f>All!D175</f>
        <v/>
      </c>
    </row>
    <row r="170" hidden="1">
      <c r="A170" s="35" t="str">
        <f>All!A176</f>
        <v/>
      </c>
      <c r="B170" s="35" t="str">
        <f>All!B176</f>
        <v/>
      </c>
      <c r="C170" s="35" t="str">
        <f>All!D176</f>
        <v/>
      </c>
    </row>
    <row r="171" hidden="1">
      <c r="A171" s="35" t="str">
        <f>All!A177</f>
        <v/>
      </c>
      <c r="B171" s="35" t="str">
        <f>All!B177</f>
        <v/>
      </c>
      <c r="C171" s="35" t="str">
        <f>All!D177</f>
        <v/>
      </c>
    </row>
    <row r="172" hidden="1">
      <c r="A172" s="35" t="str">
        <f>All!A178</f>
        <v/>
      </c>
      <c r="B172" s="35" t="str">
        <f>All!B178</f>
        <v/>
      </c>
      <c r="C172" s="35" t="str">
        <f>All!D178</f>
        <v/>
      </c>
    </row>
    <row r="173" hidden="1">
      <c r="A173" s="35" t="str">
        <f>All!A179</f>
        <v/>
      </c>
      <c r="B173" s="35" t="str">
        <f>All!B179</f>
        <v/>
      </c>
      <c r="C173" s="35" t="str">
        <f>All!D179</f>
        <v/>
      </c>
    </row>
    <row r="174" hidden="1">
      <c r="A174" s="35" t="str">
        <f>All!A180</f>
        <v/>
      </c>
      <c r="B174" s="35" t="str">
        <f>All!B180</f>
        <v/>
      </c>
      <c r="C174" s="35" t="str">
        <f>All!D180</f>
        <v/>
      </c>
    </row>
    <row r="175" hidden="1">
      <c r="A175" s="35" t="str">
        <f>All!A181</f>
        <v/>
      </c>
      <c r="B175" s="35" t="str">
        <f>All!B181</f>
        <v/>
      </c>
      <c r="C175" s="35" t="str">
        <f>All!D181</f>
        <v/>
      </c>
    </row>
    <row r="176" hidden="1">
      <c r="A176" s="35" t="str">
        <f>All!A182</f>
        <v/>
      </c>
      <c r="B176" s="35" t="str">
        <f>All!B182</f>
        <v/>
      </c>
      <c r="C176" s="35" t="str">
        <f>All!D182</f>
        <v/>
      </c>
    </row>
    <row r="177" hidden="1">
      <c r="A177" s="35" t="str">
        <f>All!A183</f>
        <v/>
      </c>
      <c r="B177" s="35" t="str">
        <f>All!B183</f>
        <v/>
      </c>
      <c r="C177" s="35" t="str">
        <f>All!D183</f>
        <v/>
      </c>
    </row>
    <row r="178" hidden="1">
      <c r="A178" s="35" t="str">
        <f>All!A184</f>
        <v/>
      </c>
      <c r="B178" s="35" t="str">
        <f>All!B184</f>
        <v/>
      </c>
      <c r="C178" s="35" t="str">
        <f>All!D184</f>
        <v/>
      </c>
    </row>
    <row r="179" hidden="1">
      <c r="A179" s="35" t="str">
        <f>All!A185</f>
        <v/>
      </c>
      <c r="B179" s="35" t="str">
        <f>All!B185</f>
        <v/>
      </c>
      <c r="C179" s="35" t="str">
        <f>All!D185</f>
        <v/>
      </c>
    </row>
    <row r="180" hidden="1">
      <c r="A180" s="35" t="str">
        <f>All!A186</f>
        <v/>
      </c>
      <c r="B180" s="35" t="str">
        <f>All!B186</f>
        <v/>
      </c>
      <c r="C180" s="35" t="str">
        <f>All!D186</f>
        <v/>
      </c>
    </row>
    <row r="181" hidden="1">
      <c r="A181" s="35" t="str">
        <f>All!A187</f>
        <v/>
      </c>
      <c r="B181" s="35" t="str">
        <f>All!B187</f>
        <v/>
      </c>
      <c r="C181" s="35" t="str">
        <f>All!D187</f>
        <v/>
      </c>
    </row>
    <row r="182" hidden="1">
      <c r="A182" s="35" t="str">
        <f>All!A188</f>
        <v/>
      </c>
      <c r="B182" s="35" t="str">
        <f>All!B188</f>
        <v/>
      </c>
      <c r="C182" s="35" t="str">
        <f>All!D188</f>
        <v/>
      </c>
    </row>
    <row r="183" hidden="1">
      <c r="A183" s="35" t="str">
        <f>All!A189</f>
        <v/>
      </c>
      <c r="B183" s="35" t="str">
        <f>All!B189</f>
        <v/>
      </c>
      <c r="C183" s="35" t="str">
        <f>All!D189</f>
        <v/>
      </c>
    </row>
    <row r="184" hidden="1">
      <c r="A184" s="35" t="str">
        <f>All!A190</f>
        <v/>
      </c>
      <c r="B184" s="35" t="str">
        <f>All!B190</f>
        <v/>
      </c>
      <c r="C184" s="35" t="str">
        <f>All!D190</f>
        <v/>
      </c>
    </row>
    <row r="185" hidden="1">
      <c r="A185" s="35" t="str">
        <f>All!A191</f>
        <v/>
      </c>
      <c r="B185" s="35" t="str">
        <f>All!B191</f>
        <v/>
      </c>
      <c r="C185" s="35" t="str">
        <f>All!D191</f>
        <v/>
      </c>
    </row>
    <row r="186" hidden="1">
      <c r="A186" s="35" t="str">
        <f>All!A192</f>
        <v/>
      </c>
      <c r="B186" s="35" t="str">
        <f>All!B192</f>
        <v/>
      </c>
      <c r="C186" s="35" t="str">
        <f>All!D192</f>
        <v/>
      </c>
    </row>
    <row r="187" hidden="1">
      <c r="A187" s="35" t="str">
        <f>All!A193</f>
        <v/>
      </c>
      <c r="B187" s="35" t="str">
        <f>All!B193</f>
        <v/>
      </c>
      <c r="C187" s="35" t="str">
        <f>All!D193</f>
        <v/>
      </c>
    </row>
    <row r="188" hidden="1">
      <c r="A188" s="35" t="str">
        <f>All!A194</f>
        <v/>
      </c>
      <c r="B188" s="35" t="str">
        <f>All!B194</f>
        <v/>
      </c>
      <c r="C188" s="35" t="str">
        <f>All!D194</f>
        <v/>
      </c>
    </row>
    <row r="189" hidden="1">
      <c r="A189" s="35" t="str">
        <f>All!A195</f>
        <v/>
      </c>
      <c r="B189" s="35" t="str">
        <f>All!B195</f>
        <v/>
      </c>
      <c r="C189" s="35" t="str">
        <f>All!D195</f>
        <v/>
      </c>
    </row>
    <row r="190" hidden="1">
      <c r="A190" s="35" t="str">
        <f>All!A196</f>
        <v/>
      </c>
      <c r="B190" s="35" t="str">
        <f>All!B196</f>
        <v/>
      </c>
      <c r="C190" s="35" t="str">
        <f>All!D196</f>
        <v/>
      </c>
    </row>
    <row r="191" hidden="1">
      <c r="A191" s="35" t="str">
        <f>All!A197</f>
        <v/>
      </c>
      <c r="B191" s="35" t="str">
        <f>All!B197</f>
        <v/>
      </c>
      <c r="C191" s="35" t="str">
        <f>All!D197</f>
        <v/>
      </c>
    </row>
    <row r="192" hidden="1">
      <c r="A192" s="35" t="str">
        <f>All!A198</f>
        <v/>
      </c>
      <c r="B192" s="35" t="str">
        <f>All!B198</f>
        <v/>
      </c>
      <c r="C192" s="35" t="str">
        <f>All!D198</f>
        <v/>
      </c>
    </row>
    <row r="193" hidden="1">
      <c r="A193" s="35" t="str">
        <f>All!A199</f>
        <v/>
      </c>
      <c r="B193" s="35" t="str">
        <f>All!B199</f>
        <v/>
      </c>
      <c r="C193" s="35" t="str">
        <f>All!D199</f>
        <v/>
      </c>
    </row>
    <row r="194" hidden="1">
      <c r="A194" s="35" t="str">
        <f>All!A200</f>
        <v/>
      </c>
      <c r="B194" s="35" t="str">
        <f>All!B200</f>
        <v/>
      </c>
      <c r="C194" s="35" t="str">
        <f>All!D200</f>
        <v/>
      </c>
    </row>
    <row r="195" hidden="1">
      <c r="A195" s="35" t="str">
        <f>All!A201</f>
        <v/>
      </c>
      <c r="B195" s="35" t="str">
        <f>All!B201</f>
        <v/>
      </c>
      <c r="C195" s="35" t="str">
        <f>All!D201</f>
        <v/>
      </c>
    </row>
    <row r="196" hidden="1">
      <c r="A196" s="35" t="str">
        <f>All!A202</f>
        <v/>
      </c>
      <c r="B196" s="35" t="str">
        <f>All!B202</f>
        <v/>
      </c>
      <c r="C196" s="35" t="str">
        <f>All!D202</f>
        <v/>
      </c>
    </row>
    <row r="197" hidden="1">
      <c r="A197" s="35" t="str">
        <f>All!A203</f>
        <v/>
      </c>
      <c r="B197" s="35" t="str">
        <f>All!B203</f>
        <v/>
      </c>
      <c r="C197" s="35" t="str">
        <f>All!D203</f>
        <v/>
      </c>
    </row>
    <row r="198" hidden="1">
      <c r="A198" s="35" t="str">
        <f>All!A204</f>
        <v/>
      </c>
      <c r="B198" s="35" t="str">
        <f>All!B204</f>
        <v/>
      </c>
      <c r="C198" s="35" t="str">
        <f>All!D204</f>
        <v/>
      </c>
    </row>
    <row r="199" hidden="1">
      <c r="A199" s="35" t="str">
        <f>All!A205</f>
        <v/>
      </c>
      <c r="B199" s="35" t="str">
        <f>All!B205</f>
        <v/>
      </c>
      <c r="C199" s="35" t="str">
        <f>All!D205</f>
        <v/>
      </c>
    </row>
  </sheetData>
  <autoFilter ref="$D$1:$D$199">
    <filterColumn colId="0">
      <filters>
        <filter val="B2B"/>
        <filter val="Target Customer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13"/>
    <col customWidth="1" min="2" max="2" width="6.75"/>
    <col customWidth="1" min="3" max="3" width="81.13"/>
    <col customWidth="1" min="4" max="4" width="9.5"/>
  </cols>
  <sheetData>
    <row r="1">
      <c r="A1" s="36" t="s">
        <v>29</v>
      </c>
      <c r="B1" s="38"/>
      <c r="C1" s="38"/>
      <c r="D1" s="37"/>
    </row>
    <row r="2">
      <c r="A2" s="44" t="s">
        <v>13</v>
      </c>
      <c r="B2" s="45" t="s">
        <v>14</v>
      </c>
      <c r="C2" s="44" t="s">
        <v>16</v>
      </c>
      <c r="D2" s="45" t="str">
        <f>All!N8</f>
        <v>Target Customer</v>
      </c>
    </row>
    <row r="3" hidden="1">
      <c r="A3" s="28" t="str">
        <f>All!A9</f>
        <v>Minut</v>
      </c>
      <c r="B3" s="35" t="str">
        <f>All!B9</f>
        <v>$15m</v>
      </c>
      <c r="C3" s="28" t="str">
        <f>All!D9</f>
        <v>Teardown of Minut's $15m Series B deck</v>
      </c>
      <c r="D3" s="31" t="str">
        <f>All!N9</f>
        <v>B2C</v>
      </c>
    </row>
    <row r="4" hidden="1">
      <c r="A4" s="28" t="str">
        <f>All!A10</f>
        <v>Momentum</v>
      </c>
      <c r="B4" s="35" t="str">
        <f>All!B10</f>
        <v>$5m</v>
      </c>
      <c r="C4" s="28" t="str">
        <f>All!D10</f>
        <v>Teardown of Momentum's $5m Seed deck</v>
      </c>
      <c r="D4" s="31" t="str">
        <f>All!N10</f>
        <v>B2B</v>
      </c>
    </row>
    <row r="5" hidden="1">
      <c r="A5" s="28" t="str">
        <f>All!A11</f>
        <v>Dutch</v>
      </c>
      <c r="B5" s="35" t="str">
        <f>All!B11</f>
        <v>$20m</v>
      </c>
      <c r="C5" s="28" t="str">
        <f>All!D11</f>
        <v>Teardown of Dutch's $20m Series A deck</v>
      </c>
      <c r="D5" s="31" t="str">
        <f>All!N11</f>
        <v>B2C</v>
      </c>
    </row>
    <row r="6" hidden="1">
      <c r="A6" s="28" t="str">
        <f>All!A12</f>
        <v>BoxedUp</v>
      </c>
      <c r="B6" s="35" t="str">
        <f>All!B12</f>
        <v>$2.3m</v>
      </c>
      <c r="C6" s="28" t="str">
        <f>All!D12</f>
        <v>Teardown of BoxedUp's $2.3m Seed deck</v>
      </c>
      <c r="D6" s="31" t="str">
        <f>All!N12</f>
        <v>B2B</v>
      </c>
    </row>
    <row r="7" hidden="1">
      <c r="A7" s="28" t="str">
        <f>All!A13</f>
        <v>Lumigo</v>
      </c>
      <c r="B7" s="35" t="str">
        <f>All!B13</f>
        <v>$29m</v>
      </c>
      <c r="C7" s="28" t="str">
        <f>All!D13</f>
        <v>Teardown of Lumigo's $29m Series A deck</v>
      </c>
      <c r="D7" s="31" t="str">
        <f>All!N13</f>
        <v>B2B</v>
      </c>
    </row>
    <row r="8" hidden="1">
      <c r="A8" s="28" t="str">
        <f>All!A14</f>
        <v>Encore</v>
      </c>
      <c r="B8" s="35" t="str">
        <f>All!B14</f>
        <v>$3m</v>
      </c>
      <c r="C8" s="28" t="str">
        <f>All!D14</f>
        <v>Teardown of Encore's $3m Seed deck</v>
      </c>
      <c r="D8" s="31" t="str">
        <f>All!N14</f>
        <v>B2B</v>
      </c>
    </row>
    <row r="9" hidden="1">
      <c r="A9" s="28" t="str">
        <f>All!A15</f>
        <v>Lunchbox</v>
      </c>
      <c r="B9" s="35" t="str">
        <f>All!B15</f>
        <v>$50m</v>
      </c>
      <c r="C9" s="28" t="str">
        <f>All!D15</f>
        <v>Teardown of Lunchbox's $50m Series B deck</v>
      </c>
      <c r="D9" s="31" t="str">
        <f>All!N15</f>
        <v>B2B</v>
      </c>
    </row>
    <row r="10" hidden="1">
      <c r="A10" s="28" t="str">
        <f>All!A16</f>
        <v>Ergeon</v>
      </c>
      <c r="B10" s="35" t="str">
        <f>All!B16</f>
        <v>$40m</v>
      </c>
      <c r="C10" s="28" t="str">
        <f>All!D16</f>
        <v>Teardown of Ergeon's $40m Series B deck</v>
      </c>
      <c r="D10" s="31" t="str">
        <f>All!N16</f>
        <v>B2C</v>
      </c>
    </row>
    <row r="11" hidden="1">
      <c r="A11" s="28" t="str">
        <f>All!A17</f>
        <v>WayRay</v>
      </c>
      <c r="B11" s="35" t="str">
        <f>All!B17</f>
        <v>$80m</v>
      </c>
      <c r="C11" s="28" t="str">
        <f>All!D17</f>
        <v>Teardown of WayRay's $80m Series E deck</v>
      </c>
      <c r="D11" s="31" t="str">
        <f>All!N17</f>
        <v>B2B</v>
      </c>
    </row>
    <row r="12" hidden="1">
      <c r="A12" s="28" t="str">
        <f>All!A18</f>
        <v>Wilco</v>
      </c>
      <c r="B12" s="35" t="str">
        <f>All!B18</f>
        <v>$7m</v>
      </c>
      <c r="C12" s="28" t="str">
        <f>All!D18</f>
        <v>Teardown of Wilco's $7m Seed deck</v>
      </c>
      <c r="D12" s="31" t="str">
        <f>All!N18</f>
        <v>B2B</v>
      </c>
    </row>
    <row r="13">
      <c r="A13" s="28" t="str">
        <f>All!A22</f>
        <v>Alto Pharmacy</v>
      </c>
      <c r="B13" s="35" t="str">
        <f>All!B22</f>
        <v>$200m</v>
      </c>
      <c r="C13" s="28" t="str">
        <f>All!D22</f>
        <v>Teardown of Alto Pharmacy's $200m Series E deck</v>
      </c>
      <c r="D13" s="46" t="str">
        <f>All!N22</f>
        <v>B2B2C</v>
      </c>
    </row>
    <row r="14" hidden="1">
      <c r="A14" s="28" t="str">
        <f>All!A20</f>
        <v>Forethought</v>
      </c>
      <c r="B14" s="35" t="str">
        <f>All!B20</f>
        <v>$65m</v>
      </c>
      <c r="C14" s="28" t="str">
        <f>All!D20</f>
        <v>Teardown of Forethought's $65m Series C deck</v>
      </c>
      <c r="D14" s="31" t="str">
        <f>All!N20</f>
        <v>B2B</v>
      </c>
    </row>
    <row r="15" hidden="1">
      <c r="A15" s="28" t="str">
        <f>All!A21</f>
        <v>Arkive</v>
      </c>
      <c r="B15" s="35" t="str">
        <f>All!B21</f>
        <v>$9.7m</v>
      </c>
      <c r="C15" s="28" t="str">
        <f>All!D21</f>
        <v>Teardown of Arkive's $9.7m Seed deck</v>
      </c>
      <c r="D15" s="31" t="str">
        <f>All!N21</f>
        <v>B2C</v>
      </c>
    </row>
    <row r="16">
      <c r="A16" s="28" t="str">
        <f>All!A19</f>
        <v>Enduring Planet</v>
      </c>
      <c r="B16" s="35" t="str">
        <f>All!B19</f>
        <v>$2m</v>
      </c>
      <c r="C16" s="28" t="str">
        <f>All!D19</f>
        <v>Teardown of Enduring Planet's $2m Seed deck</v>
      </c>
      <c r="D16" s="46" t="str">
        <f>All!N19</f>
        <v>B2B2C</v>
      </c>
    </row>
    <row r="17">
      <c r="A17" s="28" t="str">
        <f>All!A107</f>
        <v>Feel Therapeutics</v>
      </c>
      <c r="B17" s="35" t="str">
        <f>All!B107</f>
        <v>$3.5m</v>
      </c>
      <c r="C17" s="28" t="str">
        <f>All!D107</f>
        <v>Teardown of Feel Therapeutics's $3.5m Seed deck</v>
      </c>
      <c r="D17" s="46" t="str">
        <f>All!N107</f>
        <v>B2B2C</v>
      </c>
    </row>
    <row r="18" hidden="1">
      <c r="A18" s="28" t="str">
        <f>All!A24</f>
        <v>Five Flute</v>
      </c>
      <c r="B18" s="35" t="str">
        <f>All!B24</f>
        <v>$1.2m</v>
      </c>
      <c r="C18" s="28" t="str">
        <f>All!D24</f>
        <v>Teardown of Five Flute's $1.2m Pre-seed deck</v>
      </c>
      <c r="D18" s="31" t="str">
        <f>All!N24</f>
        <v>B2B</v>
      </c>
    </row>
    <row r="19" hidden="1">
      <c r="A19" s="28" t="str">
        <f>All!A25</f>
        <v>Mi Terro</v>
      </c>
      <c r="B19" s="35" t="str">
        <f>All!B25</f>
        <v>$1.5m</v>
      </c>
      <c r="C19" s="28" t="str">
        <f>All!D25</f>
        <v>Teardown of Mi Terro's $1.5m Seed deck</v>
      </c>
      <c r="D19" s="31" t="str">
        <f>All!N25</f>
        <v>B2B</v>
      </c>
    </row>
    <row r="20" hidden="1">
      <c r="A20" s="28" t="str">
        <f>All!A26</f>
        <v>SIMBA Chain</v>
      </c>
      <c r="B20" s="35" t="str">
        <f>All!B26</f>
        <v>$25m</v>
      </c>
      <c r="C20" s="28" t="str">
        <f>All!D26</f>
        <v>Teardown of SIMBA Chain's $25m Series A deck</v>
      </c>
      <c r="D20" s="31" t="str">
        <f>All!N26</f>
        <v>B2B</v>
      </c>
    </row>
    <row r="21" hidden="1">
      <c r="A21" s="28" t="str">
        <f>All!A27</f>
        <v>Front</v>
      </c>
      <c r="B21" s="35" t="str">
        <f>All!B27</f>
        <v>$65m</v>
      </c>
      <c r="C21" s="28" t="str">
        <f>All!D27</f>
        <v>Teardown of Front's $65m Series D deck</v>
      </c>
      <c r="D21" s="31" t="str">
        <f>All!N27</f>
        <v>B2B</v>
      </c>
    </row>
    <row r="22" hidden="1">
      <c r="A22" s="28" t="str">
        <f>All!A28</f>
        <v>Helu</v>
      </c>
      <c r="B22" s="35" t="str">
        <f>All!B28</f>
        <v>$9.8m</v>
      </c>
      <c r="C22" s="28" t="str">
        <f>All!D28</f>
        <v>Teardown of Helu's $9.8m Series A deck</v>
      </c>
      <c r="D22" s="31" t="str">
        <f>All!N28</f>
        <v>B2B</v>
      </c>
    </row>
    <row r="23" hidden="1">
      <c r="A23" s="28" t="str">
        <f>All!A29</f>
        <v>Party Round</v>
      </c>
      <c r="B23" s="35" t="str">
        <f>All!B29</f>
        <v>$7m</v>
      </c>
      <c r="C23" s="28" t="str">
        <f>All!D29</f>
        <v>Teardown of Party Round's $7m Angel deck</v>
      </c>
      <c r="D23" s="31" t="str">
        <f>All!N29</f>
        <v>B2B</v>
      </c>
    </row>
    <row r="24" hidden="1">
      <c r="A24" s="28" t="str">
        <f>All!A30</f>
        <v>Rokoko</v>
      </c>
      <c r="B24" s="35" t="str">
        <f>All!B30</f>
        <v>$3m</v>
      </c>
      <c r="C24" s="28" t="str">
        <f>All!D30</f>
        <v>Teardown of Rokoko's $3m Strategic Extension deck</v>
      </c>
      <c r="D24" s="31" t="str">
        <f>All!N30</f>
        <v>B2B</v>
      </c>
    </row>
    <row r="25" hidden="1">
      <c r="A25" s="28" t="str">
        <f>All!A31</f>
        <v>Vori</v>
      </c>
      <c r="B25" s="35" t="str">
        <f>All!B31</f>
        <v>$10m</v>
      </c>
      <c r="C25" s="28" t="str">
        <f>All!D31</f>
        <v>Teardown of Vori's $10m Series A deck</v>
      </c>
      <c r="D25" s="31" t="str">
        <f>All!N31</f>
        <v>B2B</v>
      </c>
    </row>
    <row r="26">
      <c r="A26" s="28" t="str">
        <f>All!A23</f>
        <v>Glambook</v>
      </c>
      <c r="B26" s="35" t="str">
        <f>All!B23</f>
        <v>$2.5m</v>
      </c>
      <c r="C26" s="28" t="str">
        <f>All!D23</f>
        <v>Teardown of Glambook's $2.5m Seed deck</v>
      </c>
      <c r="D26" s="46" t="str">
        <f>All!N23</f>
        <v>B2B2C</v>
      </c>
    </row>
    <row r="27" hidden="1">
      <c r="A27" s="28" t="str">
        <f>All!A33</f>
        <v>Palau Project </v>
      </c>
      <c r="B27" s="35" t="str">
        <f>All!B33</f>
        <v>$125k</v>
      </c>
      <c r="C27" s="28" t="str">
        <f>All!D33</f>
        <v>Teardown of Palau Project 's $125k Pre-seed deck</v>
      </c>
      <c r="D27" s="31" t="str">
        <f>All!N33</f>
        <v>B2C</v>
      </c>
    </row>
    <row r="28" hidden="1">
      <c r="A28" s="28" t="str">
        <f>All!A34</f>
        <v>Syneroid Technologies</v>
      </c>
      <c r="B28" s="35" t="str">
        <f>All!B34</f>
        <v>$500k</v>
      </c>
      <c r="C28" s="28" t="str">
        <f>All!D34</f>
        <v>Teardown of Syneroid Technologies's $500k Seed deck</v>
      </c>
      <c r="D28" s="31" t="str">
        <f>All!N34</f>
        <v>B2C</v>
      </c>
    </row>
    <row r="29" hidden="1">
      <c r="A29" s="28" t="str">
        <f>All!A35</f>
        <v>Sateliot</v>
      </c>
      <c r="B29" s="35" t="str">
        <f>All!B35</f>
        <v>$11.4m</v>
      </c>
      <c r="C29" s="28" t="str">
        <f>All!D35</f>
        <v>Teardown of Sateliot's $11.4m Series A deck</v>
      </c>
      <c r="D29" s="31" t="str">
        <f>All!N35</f>
        <v>B2B</v>
      </c>
    </row>
    <row r="30" hidden="1">
      <c r="A30" s="28" t="str">
        <f>All!A36</f>
        <v>Juro</v>
      </c>
      <c r="B30" s="35" t="str">
        <f>All!B36</f>
        <v>$23m</v>
      </c>
      <c r="C30" s="28" t="str">
        <f>All!D36</f>
        <v>Teardown of Juro's $23m Series B deck</v>
      </c>
      <c r="D30" s="31" t="str">
        <f>All!N36</f>
        <v>B2B</v>
      </c>
    </row>
    <row r="31" hidden="1">
      <c r="A31" s="28" t="str">
        <f>All!A37</f>
        <v>Hour One</v>
      </c>
      <c r="B31" s="35" t="str">
        <f>All!B37</f>
        <v>$20m</v>
      </c>
      <c r="C31" s="28" t="str">
        <f>All!D37</f>
        <v>Teardown of Hour One's $20m Series A deck</v>
      </c>
      <c r="D31" s="31" t="str">
        <f>All!N37</f>
        <v>B2B</v>
      </c>
    </row>
    <row r="32" hidden="1">
      <c r="A32" s="28" t="str">
        <f>All!A38</f>
        <v>Rootine</v>
      </c>
      <c r="B32" s="35" t="str">
        <f>All!B38</f>
        <v>$10m</v>
      </c>
      <c r="C32" s="28" t="str">
        <f>All!D38</f>
        <v>Teardown of Rootine's $10m Series A deck</v>
      </c>
      <c r="D32" s="31" t="str">
        <f>All!N38</f>
        <v>B2C</v>
      </c>
    </row>
    <row r="33" hidden="1">
      <c r="A33" s="28" t="str">
        <f>All!A39</f>
        <v>MedCrypt</v>
      </c>
      <c r="B33" s="35" t="str">
        <f>All!B39</f>
        <v>$25m</v>
      </c>
      <c r="C33" s="28" t="str">
        <f>All!D39</f>
        <v>Teardown of MedCrypt's $25m Series B deck</v>
      </c>
      <c r="D33" s="31" t="str">
        <f>All!N39</f>
        <v>B2B</v>
      </c>
    </row>
    <row r="34" hidden="1">
      <c r="A34" s="28" t="str">
        <f>All!A40</f>
        <v>Card Blanch</v>
      </c>
      <c r="B34" s="35" t="str">
        <f>All!B40</f>
        <v>$460k</v>
      </c>
      <c r="C34" s="28" t="str">
        <f>All!D40</f>
        <v>Teardown of Card Blanch's $460k Angel deck</v>
      </c>
      <c r="D34" s="31" t="str">
        <f>All!N40</f>
        <v>B2C</v>
      </c>
    </row>
    <row r="35" hidden="1">
      <c r="A35" s="28" t="str">
        <f>All!A41</f>
        <v>Scrintal</v>
      </c>
      <c r="B35" s="35" t="str">
        <f>All!B41</f>
        <v>$1m</v>
      </c>
      <c r="C35" s="28" t="str">
        <f>All!D41</f>
        <v>Teardown of Scrintal's $1m Seed deck</v>
      </c>
      <c r="D35" s="31" t="str">
        <f>All!N41</f>
        <v>B2B</v>
      </c>
    </row>
    <row r="36">
      <c r="A36" s="28" t="str">
        <f>All!A74</f>
        <v>Learn XYZ</v>
      </c>
      <c r="B36" s="35" t="str">
        <f>All!B74</f>
        <v>$3m</v>
      </c>
      <c r="C36" s="28" t="str">
        <f>All!D74</f>
        <v>Teardown of Learn XYZ's $3m Seed deck</v>
      </c>
      <c r="D36" s="46" t="str">
        <f>All!N74</f>
        <v>B2B</v>
      </c>
    </row>
    <row r="37" hidden="1">
      <c r="A37" s="28" t="str">
        <f>All!A43</f>
        <v>Laoshi</v>
      </c>
      <c r="B37" s="35" t="str">
        <f>All!B43</f>
        <v>$570k</v>
      </c>
      <c r="C37" s="28" t="str">
        <f>All!D43</f>
        <v>Teardown of Laoshi's $570k Angel  deck</v>
      </c>
      <c r="D37" s="31" t="str">
        <f>All!N43</f>
        <v>B2C</v>
      </c>
    </row>
    <row r="38" hidden="1">
      <c r="A38" s="28" t="str">
        <f>All!A44</f>
        <v>Spinach</v>
      </c>
      <c r="B38" s="35" t="str">
        <f>All!B44</f>
        <v>$3.5m</v>
      </c>
      <c r="C38" s="28" t="str">
        <f>All!D44</f>
        <v>Teardown of Spinach's $3.5m Seed deck</v>
      </c>
      <c r="D38" s="31" t="str">
        <f>All!N44</f>
        <v>B2B</v>
      </c>
    </row>
    <row r="39" hidden="1">
      <c r="A39" s="28" t="str">
        <f>All!A45</f>
        <v>Incymo AI</v>
      </c>
      <c r="B39" s="35" t="str">
        <f>All!B45</f>
        <v>$850k</v>
      </c>
      <c r="C39" s="28" t="str">
        <f>All!D45</f>
        <v>Teardown of Incymo AI's $850k Seed deck</v>
      </c>
      <c r="D39" s="31" t="str">
        <f>All!N45</f>
        <v>B2B</v>
      </c>
    </row>
    <row r="40" hidden="1">
      <c r="A40" s="28" t="str">
        <f>All!A46</f>
        <v>Uber</v>
      </c>
      <c r="B40" s="35" t="str">
        <f>All!B46</f>
        <v>$200k</v>
      </c>
      <c r="C40" s="28" t="str">
        <f>All!D46</f>
        <v>Teardown of Uber's $200k Pre-seed deck</v>
      </c>
      <c r="D40" s="31" t="str">
        <f>All!N46</f>
        <v>B2C</v>
      </c>
    </row>
    <row r="41" hidden="1">
      <c r="A41" s="28" t="str">
        <f>All!A47</f>
        <v>Gable</v>
      </c>
      <c r="B41" s="35" t="str">
        <f>All!B47</f>
        <v>$16m</v>
      </c>
      <c r="C41" s="28" t="str">
        <f>All!D47</f>
        <v>Teardown of Gable's $16m Series A deck</v>
      </c>
      <c r="D41" s="31" t="str">
        <f>All!N47</f>
        <v>B2B</v>
      </c>
    </row>
    <row r="42" hidden="1">
      <c r="A42" s="28" t="str">
        <f>All!A48</f>
        <v>MiO Marketplace</v>
      </c>
      <c r="B42" s="35" t="str">
        <f>All!B48</f>
        <v>$550k</v>
      </c>
      <c r="C42" s="28" t="str">
        <f>All!D48</f>
        <v>Teardown of MiO Marketplace's $550k Angel deck</v>
      </c>
      <c r="D42" s="31" t="str">
        <f>All!N48</f>
        <v>B2B</v>
      </c>
    </row>
    <row r="43">
      <c r="A43" s="28" t="str">
        <f>All!A42</f>
        <v>Orange</v>
      </c>
      <c r="B43" s="35" t="str">
        <f>All!B42</f>
        <v>$2.5m</v>
      </c>
      <c r="C43" s="28" t="str">
        <f>All!D42</f>
        <v>Teardown of Orange's $2.5m Seed deck</v>
      </c>
      <c r="D43" s="46" t="str">
        <f>All!N42</f>
        <v>B2B2C</v>
      </c>
    </row>
    <row r="44" hidden="1">
      <c r="A44" s="28" t="str">
        <f>All!A50</f>
        <v>Prelaunch</v>
      </c>
      <c r="B44" s="35" t="str">
        <f>All!B50</f>
        <v>$1.5m</v>
      </c>
      <c r="C44" s="28" t="str">
        <f>All!D50</f>
        <v>Teardown of Prelaunch's $1.5m Seed deck</v>
      </c>
      <c r="D44" s="31" t="str">
        <f>All!N50</f>
        <v>B2B</v>
      </c>
    </row>
    <row r="45" hidden="1">
      <c r="A45" s="28" t="str">
        <f>All!A51</f>
        <v>Northspyre</v>
      </c>
      <c r="B45" s="35" t="str">
        <f>All!B51</f>
        <v>$25m</v>
      </c>
      <c r="C45" s="28" t="str">
        <f>All!D51</f>
        <v>Teardown of Northspyre's $25m Series B deck</v>
      </c>
      <c r="D45" s="31" t="str">
        <f>All!N51</f>
        <v>B2B</v>
      </c>
    </row>
    <row r="46" hidden="1">
      <c r="A46" s="28" t="str">
        <f>All!A52</f>
        <v>Smalls</v>
      </c>
      <c r="B46" s="35" t="str">
        <f>All!B52</f>
        <v>$19m</v>
      </c>
      <c r="C46" s="28" t="str">
        <f>All!D52</f>
        <v>Teardown of Smalls's $19m Series B deck</v>
      </c>
      <c r="D46" s="31" t="str">
        <f>All!N52</f>
        <v>B2C</v>
      </c>
    </row>
    <row r="47" hidden="1">
      <c r="A47" s="28" t="str">
        <f>All!A53</f>
        <v>Diamond Standard</v>
      </c>
      <c r="B47" s="35" t="str">
        <f>All!B53</f>
        <v>$30m</v>
      </c>
      <c r="C47" s="28" t="str">
        <f>All!D53</f>
        <v>Teardown of Diamond Standard's $30m Series A deck</v>
      </c>
      <c r="D47" s="31" t="str">
        <f>All!N53</f>
        <v>B2C</v>
      </c>
    </row>
    <row r="48" hidden="1">
      <c r="A48" s="28" t="str">
        <f>All!A54</f>
        <v>Honeycomb </v>
      </c>
      <c r="B48" s="35" t="str">
        <f>All!B54</f>
        <v>$50m</v>
      </c>
      <c r="C48" s="28" t="str">
        <f>All!D54</f>
        <v>Teardown of Honeycomb 's $50m Series D deck</v>
      </c>
      <c r="D48" s="31" t="str">
        <f>All!N54</f>
        <v>B2B</v>
      </c>
    </row>
    <row r="49" hidden="1">
      <c r="A49" s="28" t="str">
        <f>All!A55</f>
        <v>Careerist</v>
      </c>
      <c r="B49" s="35" t="str">
        <f>All!B55</f>
        <v>$8m</v>
      </c>
      <c r="C49" s="28" t="str">
        <f>All!D55</f>
        <v>Teardown of Careerist's $8m Series A deck</v>
      </c>
      <c r="D49" s="31" t="str">
        <f>All!N55</f>
        <v>B2C</v>
      </c>
    </row>
    <row r="50">
      <c r="A50" s="28" t="str">
        <f>All!A49</f>
        <v>StudentFinance</v>
      </c>
      <c r="B50" s="35" t="str">
        <f>All!B49</f>
        <v>$41m</v>
      </c>
      <c r="C50" s="28" t="str">
        <f>All!D49</f>
        <v>Teardown of StudentFinance's $41m Series A deck</v>
      </c>
      <c r="D50" s="46" t="str">
        <f>All!N49</f>
        <v>B2B2C</v>
      </c>
    </row>
    <row r="51" hidden="1">
      <c r="A51" s="28" t="str">
        <f>All!A57</f>
        <v>Fibery</v>
      </c>
      <c r="B51" s="35" t="str">
        <f>All!B57</f>
        <v>$5.2m</v>
      </c>
      <c r="C51" s="28" t="str">
        <f>All!D57</f>
        <v>Teardown of Fibery's $5.2m Series A deck</v>
      </c>
      <c r="D51" s="31" t="str">
        <f>All!N57</f>
        <v>B2B</v>
      </c>
    </row>
    <row r="52" hidden="1">
      <c r="A52" s="28" t="str">
        <f>All!A58</f>
        <v>Ageras</v>
      </c>
      <c r="B52" s="35" t="str">
        <f>All!B58</f>
        <v>$36m</v>
      </c>
      <c r="C52" s="28" t="str">
        <f>All!D58</f>
        <v>Teardown of Ageras's $36m Private Equity deck</v>
      </c>
      <c r="D52" s="31" t="str">
        <f>All!N58</f>
        <v>B2B</v>
      </c>
    </row>
    <row r="53" hidden="1">
      <c r="A53" s="28" t="str">
        <f>All!A59</f>
        <v>Faye</v>
      </c>
      <c r="B53" s="35" t="str">
        <f>All!B59</f>
        <v>$10m</v>
      </c>
      <c r="C53" s="28" t="str">
        <f>All!D59</f>
        <v>Teardown of Faye's $10m Series A deck</v>
      </c>
      <c r="D53" s="31" t="str">
        <f>All!N59</f>
        <v>B2C</v>
      </c>
    </row>
    <row r="54" hidden="1">
      <c r="A54" s="28" t="str">
        <f>All!A60</f>
        <v>Oii AI</v>
      </c>
      <c r="B54" s="35" t="str">
        <f>All!B60</f>
        <v>$1.85m</v>
      </c>
      <c r="C54" s="28" t="str">
        <f>All!D60</f>
        <v>Teardown of Oii AI's $1.85m Seed deck</v>
      </c>
      <c r="D54" s="31" t="str">
        <f>All!N60</f>
        <v>B2B</v>
      </c>
    </row>
    <row r="55" hidden="1">
      <c r="A55" s="28" t="str">
        <f>All!A61</f>
        <v>CulturePulse</v>
      </c>
      <c r="B55" s="35" t="str">
        <f>All!B61</f>
        <v>$1m</v>
      </c>
      <c r="C55" s="28" t="str">
        <f>All!D61</f>
        <v>Teardown of CulturePulse's $1m Seed deck</v>
      </c>
      <c r="D55" s="31" t="str">
        <f>All!N61</f>
        <v>B2B</v>
      </c>
    </row>
    <row r="56" hidden="1">
      <c r="A56" s="28" t="str">
        <f>All!A62</f>
        <v>Netmaker</v>
      </c>
      <c r="B56" s="35" t="str">
        <f>All!B62</f>
        <v>$2.3m</v>
      </c>
      <c r="C56" s="28" t="str">
        <f>All!D62</f>
        <v>Teardown of Netmaker's $2.3m Seed deck</v>
      </c>
      <c r="D56" s="31" t="str">
        <f>All!N62</f>
        <v>B2B</v>
      </c>
    </row>
    <row r="57" hidden="1">
      <c r="A57" s="28" t="str">
        <f>All!A63</f>
        <v>Super </v>
      </c>
      <c r="B57" s="35" t="str">
        <f>All!B63</f>
        <v>$60m</v>
      </c>
      <c r="C57" s="28" t="str">
        <f>All!D63</f>
        <v>Teardown of Super 's $60m Series C deck</v>
      </c>
      <c r="D57" s="31" t="str">
        <f>All!N63</f>
        <v>B2C</v>
      </c>
    </row>
    <row r="58" hidden="1">
      <c r="A58" s="28" t="str">
        <f>All!A64</f>
        <v>Nokod Security</v>
      </c>
      <c r="B58" s="35" t="str">
        <f>All!B64</f>
        <v>$8m</v>
      </c>
      <c r="C58" s="28" t="str">
        <f>All!D64</f>
        <v>Teardown of Nokod Security's $8m Seed deck</v>
      </c>
      <c r="D58" s="31" t="str">
        <f>All!N64</f>
        <v>B2B</v>
      </c>
    </row>
    <row r="59" hidden="1">
      <c r="A59" s="28" t="str">
        <f>All!A65</f>
        <v>GoodBuy Gear</v>
      </c>
      <c r="B59" s="35" t="str">
        <f>All!B65</f>
        <v>$5m</v>
      </c>
      <c r="C59" s="28" t="str">
        <f>All!D65</f>
        <v>Teardown of GoodBuy Gear's $5m Series A Extension deck</v>
      </c>
      <c r="D59" s="31" t="str">
        <f>All!N65</f>
        <v>B2C</v>
      </c>
    </row>
    <row r="60" hidden="1">
      <c r="A60" s="28" t="str">
        <f>All!A66</f>
        <v>CleanHub</v>
      </c>
      <c r="B60" s="35" t="str">
        <f>All!B66</f>
        <v>$7m</v>
      </c>
      <c r="C60" s="28" t="str">
        <f>All!D66</f>
        <v>Teardown of CleanHub's $7m Seed deck</v>
      </c>
      <c r="D60" s="31" t="str">
        <f>All!N66</f>
        <v>B2B</v>
      </c>
    </row>
    <row r="61" hidden="1">
      <c r="A61" s="28" t="str">
        <f>All!A67</f>
        <v>Unito</v>
      </c>
      <c r="B61" s="35" t="str">
        <f>All!B67</f>
        <v>$20m</v>
      </c>
      <c r="C61" s="28" t="str">
        <f>All!D67</f>
        <v>Teardown of Unito's $20m Series B deck</v>
      </c>
      <c r="D61" s="31" t="str">
        <f>All!N67</f>
        <v>B2B</v>
      </c>
    </row>
    <row r="62" hidden="1">
      <c r="A62" s="28" t="str">
        <f>All!A68</f>
        <v>SquadTrip</v>
      </c>
      <c r="B62" s="35" t="str">
        <f>All!B68</f>
        <v>$1.5m</v>
      </c>
      <c r="C62" s="28" t="str">
        <f>All!D68</f>
        <v>Teardown of SquadTrip's $1.5m Pre-seed deck</v>
      </c>
      <c r="D62" s="31" t="str">
        <f>All!N68</f>
        <v>B2B</v>
      </c>
    </row>
    <row r="63" hidden="1">
      <c r="A63" s="28" t="str">
        <f>All!A69</f>
        <v>ANYbotics AG</v>
      </c>
      <c r="B63" s="35" t="str">
        <f>All!B69</f>
        <v>$50m</v>
      </c>
      <c r="C63" s="28" t="str">
        <f>All!D69</f>
        <v>Teardown of ANYbotics AG's $50m Series B deck</v>
      </c>
      <c r="D63" s="31" t="str">
        <f>All!N69</f>
        <v>B2B</v>
      </c>
    </row>
    <row r="64" hidden="1">
      <c r="A64" s="28" t="str">
        <f>All!A70</f>
        <v>DeckMatch</v>
      </c>
      <c r="B64" s="35" t="str">
        <f>All!B70</f>
        <v>$1m</v>
      </c>
      <c r="C64" s="28" t="str">
        <f>All!D70</f>
        <v>Teardown of DeckMatch's $1m Seed deck</v>
      </c>
      <c r="D64" s="31" t="str">
        <f>All!N70</f>
        <v>B2B</v>
      </c>
    </row>
    <row r="65" hidden="1">
      <c r="A65" s="28" t="str">
        <f>All!A71</f>
        <v>BusRight</v>
      </c>
      <c r="B65" s="35" t="str">
        <f>All!B71</f>
        <v>$7m</v>
      </c>
      <c r="C65" s="28" t="str">
        <f>All!D71</f>
        <v>Teardown of BusRight's $7m Series A deck</v>
      </c>
      <c r="D65" s="31" t="str">
        <f>All!N71</f>
        <v>B2B</v>
      </c>
    </row>
    <row r="66" hidden="1">
      <c r="A66" s="28" t="str">
        <f>All!A72</f>
        <v>Tanbii</v>
      </c>
      <c r="B66" s="35" t="str">
        <f>All!B72</f>
        <v>$1.5m</v>
      </c>
      <c r="C66" s="28" t="str">
        <f>All!D72</f>
        <v>Teardown of Tanbii's $1.5m Pre-seed deck</v>
      </c>
      <c r="D66" s="31" t="str">
        <f>All!N72</f>
        <v>B2C</v>
      </c>
    </row>
    <row r="67" hidden="1">
      <c r="A67" s="28" t="str">
        <f>All!A73</f>
        <v>Tomorrow University of Applied Sciences</v>
      </c>
      <c r="B67" s="35" t="str">
        <f>All!B73</f>
        <v>$10m</v>
      </c>
      <c r="C67" s="28" t="str">
        <f>All!D73</f>
        <v>Teardown of Tomorrow University of Applied Sciences's $10m Series A deck</v>
      </c>
      <c r="D67" s="31" t="str">
        <f>All!N73</f>
        <v>B2C</v>
      </c>
    </row>
    <row r="68">
      <c r="A68" s="28" t="str">
        <f>All!A32</f>
        <v>Supliful</v>
      </c>
      <c r="B68" s="35" t="str">
        <f>All!B32</f>
        <v>$1m</v>
      </c>
      <c r="C68" s="28" t="str">
        <f>All!D32</f>
        <v>Teardown of Supliful's $1m Seed deck</v>
      </c>
      <c r="D68" s="46" t="str">
        <f>All!N32</f>
        <v>B2B2C</v>
      </c>
    </row>
    <row r="69" hidden="1">
      <c r="A69" s="28" t="str">
        <f>All!A75</f>
        <v>Transcend</v>
      </c>
      <c r="B69" s="35" t="str">
        <f>All!B75</f>
        <v>$20m</v>
      </c>
      <c r="C69" s="28" t="str">
        <f>All!D75</f>
        <v>Teardown of Transcend's $20m Series B deck</v>
      </c>
      <c r="D69" s="31" t="str">
        <f>All!N75</f>
        <v>B2B</v>
      </c>
    </row>
    <row r="70" hidden="1">
      <c r="A70" s="28" t="str">
        <f>All!A76</f>
        <v>point me</v>
      </c>
      <c r="B70" s="35" t="str">
        <f>All!B76</f>
        <v>$10m</v>
      </c>
      <c r="C70" s="28" t="str">
        <f>All!D76</f>
        <v>Teardown of point me's $10m Series A deck</v>
      </c>
      <c r="D70" s="31" t="str">
        <f>All!N76</f>
        <v>B2C</v>
      </c>
    </row>
    <row r="71" hidden="1">
      <c r="A71" s="28" t="str">
        <f>All!A77</f>
        <v>Lupiya</v>
      </c>
      <c r="B71" s="35" t="str">
        <f>All!B77</f>
        <v>$8.3m</v>
      </c>
      <c r="C71" s="28" t="str">
        <f>All!D77</f>
        <v>Teardown of Lupiya's $8.3m Series A deck</v>
      </c>
      <c r="D71" s="31" t="str">
        <f>All!N77</f>
        <v>B2C</v>
      </c>
    </row>
    <row r="72" hidden="1">
      <c r="A72" s="28" t="str">
        <f>All!A78</f>
        <v>SplitBrick</v>
      </c>
      <c r="B72" s="35" t="str">
        <f>All!B78</f>
        <v>$200k</v>
      </c>
      <c r="C72" s="28" t="str">
        <f>All!D78</f>
        <v>Teardown of SplitBrick's $200k Angel deck</v>
      </c>
      <c r="D72" s="31" t="str">
        <f>All!N78</f>
        <v>B2C</v>
      </c>
    </row>
    <row r="73" hidden="1">
      <c r="A73" s="28" t="str">
        <f>All!A79</f>
        <v>Aether</v>
      </c>
      <c r="B73" s="35" t="str">
        <f>All!B79</f>
        <v>$49m</v>
      </c>
      <c r="C73" s="28" t="str">
        <f>All!D79</f>
        <v>Teardown of Aether's $49m Series A deck</v>
      </c>
      <c r="D73" s="31" t="str">
        <f>All!N79</f>
        <v>B2B</v>
      </c>
    </row>
    <row r="74" hidden="1">
      <c r="A74" s="28" t="str">
        <f>All!A80</f>
        <v>CancerVAX</v>
      </c>
      <c r="B74" s="35" t="str">
        <f>All!B80</f>
        <v>$10m</v>
      </c>
      <c r="C74" s="28" t="str">
        <f>All!D80</f>
        <v>Teardown of CancerVAX's $10m Crowdfunding deck</v>
      </c>
      <c r="D74" s="31" t="str">
        <f>All!N80</f>
        <v>B2C</v>
      </c>
    </row>
    <row r="75" hidden="1">
      <c r="A75" s="28" t="str">
        <f>All!A81</f>
        <v>Phospholutions</v>
      </c>
      <c r="B75" s="35" t="str">
        <f>All!B81</f>
        <v>$10.15m</v>
      </c>
      <c r="C75" s="28" t="str">
        <f>All!D81</f>
        <v>Teardown of Phospholutions's $10.15m Series A extension deck</v>
      </c>
      <c r="D75" s="31" t="str">
        <f>All!N81</f>
        <v>B2B</v>
      </c>
    </row>
    <row r="76" hidden="1">
      <c r="A76" s="28" t="str">
        <f>All!A82</f>
        <v>Fifth Dimension AI</v>
      </c>
      <c r="B76" s="35" t="str">
        <f>All!B82</f>
        <v>$2.8m</v>
      </c>
      <c r="C76" s="28" t="str">
        <f>All!D82</f>
        <v>Teardown of Fifth Dimension AI's $2.8m Seed deck</v>
      </c>
      <c r="D76" s="31" t="str">
        <f>All!N82</f>
        <v>B2B</v>
      </c>
    </row>
    <row r="77" hidden="1">
      <c r="A77" s="28" t="str">
        <f>All!A83</f>
        <v>Scalestack</v>
      </c>
      <c r="B77" s="35" t="str">
        <f>All!B83</f>
        <v>$1m</v>
      </c>
      <c r="C77" s="28" t="str">
        <f>All!D83</f>
        <v>Teardown of Scalestack's $1m Seed deck</v>
      </c>
      <c r="D77" s="31" t="str">
        <f>All!N83</f>
        <v>B2B</v>
      </c>
    </row>
    <row r="78" hidden="1">
      <c r="A78" s="28" t="str">
        <f>All!A84</f>
        <v>Metafuels</v>
      </c>
      <c r="B78" s="35" t="str">
        <f>All!B84</f>
        <v>$8m</v>
      </c>
      <c r="C78" s="28" t="str">
        <f>All!D84</f>
        <v>Teardown of Metafuels's $8m Seed deck</v>
      </c>
      <c r="D78" s="31" t="str">
        <f>All!N84</f>
        <v>B2B</v>
      </c>
    </row>
    <row r="79" hidden="1">
      <c r="A79" s="28" t="str">
        <f>All!A85</f>
        <v>HomeCooks</v>
      </c>
      <c r="B79" s="35" t="str">
        <f>All!B85</f>
        <v>$3.2m</v>
      </c>
      <c r="C79" s="28" t="str">
        <f>All!D85</f>
        <v>Teardown of HomeCooks's $3.2m Seed deck</v>
      </c>
      <c r="D79" s="31" t="str">
        <f>All!N85</f>
        <v>B2C</v>
      </c>
    </row>
    <row r="80" hidden="1">
      <c r="A80" s="28" t="str">
        <f>All!A86</f>
        <v>Pepper Bio</v>
      </c>
      <c r="B80" s="35" t="str">
        <f>All!B86</f>
        <v>$6.5m</v>
      </c>
      <c r="C80" s="28" t="str">
        <f>All!D86</f>
        <v>Teardown of Pepper Bio's $6.5m Seed deck</v>
      </c>
      <c r="D80" s="31" t="str">
        <f>All!N86</f>
        <v>B2B</v>
      </c>
    </row>
    <row r="81" hidden="1">
      <c r="A81" s="28" t="str">
        <f>All!A87</f>
        <v>Qortex</v>
      </c>
      <c r="B81" s="35" t="str">
        <f>All!B87</f>
        <v>$10m</v>
      </c>
      <c r="C81" s="28" t="str">
        <f>All!D87</f>
        <v>Teardown of Qortex's $10m Seed deck</v>
      </c>
      <c r="D81" s="31" t="str">
        <f>All!N87</f>
        <v>B2B</v>
      </c>
    </row>
    <row r="82" hidden="1">
      <c r="A82" s="28" t="str">
        <f>All!A88</f>
        <v>Ryplzz</v>
      </c>
      <c r="B82" s="35" t="str">
        <f>All!B88</f>
        <v>$3m</v>
      </c>
      <c r="C82" s="28" t="str">
        <f>All!D88</f>
        <v>Teardown of Ryplzz's $3m Seed deck</v>
      </c>
      <c r="D82" s="31" t="str">
        <f>All!N88</f>
        <v>B2B</v>
      </c>
    </row>
    <row r="83" hidden="1">
      <c r="A83" s="28" t="str">
        <f>All!A89</f>
        <v>Doola</v>
      </c>
      <c r="B83" s="35" t="str">
        <f>All!B89</f>
        <v>$1m</v>
      </c>
      <c r="C83" s="28" t="str">
        <f>All!D89</f>
        <v>Teardown of Doola's $1m Series A extension deck</v>
      </c>
      <c r="D83" s="31" t="str">
        <f>All!N89</f>
        <v>B2B</v>
      </c>
    </row>
    <row r="84" hidden="1">
      <c r="A84" s="28" t="str">
        <f>All!A90</f>
        <v>PhageLab</v>
      </c>
      <c r="B84" s="35" t="str">
        <f>All!B90</f>
        <v>$11m</v>
      </c>
      <c r="C84" s="28" t="str">
        <f>All!D90</f>
        <v>Teardown of PhageLab's $11m Series A deck</v>
      </c>
      <c r="D84" s="31" t="str">
        <f>All!N90</f>
        <v>B2B</v>
      </c>
    </row>
    <row r="85" hidden="1">
      <c r="A85" s="28" t="str">
        <f>All!A91</f>
        <v>Xyte</v>
      </c>
      <c r="B85" s="35" t="str">
        <f>All!B91</f>
        <v>$30m</v>
      </c>
      <c r="C85" s="28" t="str">
        <f>All!D91</f>
        <v>Teardown of Xyte's $30m Series A deck</v>
      </c>
      <c r="D85" s="31" t="str">
        <f>All!N91</f>
        <v>B2B</v>
      </c>
    </row>
    <row r="86" hidden="1">
      <c r="A86" s="28" t="str">
        <f>All!A92</f>
        <v>Equals</v>
      </c>
      <c r="B86" s="35" t="str">
        <f>All!B92</f>
        <v>$16m</v>
      </c>
      <c r="C86" s="28" t="str">
        <f>All!D92</f>
        <v>Teardown of Equals's $16m Series A deck</v>
      </c>
      <c r="D86" s="31" t="str">
        <f>All!N92</f>
        <v>B2B</v>
      </c>
    </row>
    <row r="87" hidden="1">
      <c r="A87" s="28" t="str">
        <f>All!A93</f>
        <v>CommandBar</v>
      </c>
      <c r="B87" s="35" t="str">
        <f>All!B93</f>
        <v>$4.8m</v>
      </c>
      <c r="C87" s="28" t="str">
        <f>All!D93</f>
        <v>Teardown of CommandBar's $4.8m Seed deck</v>
      </c>
      <c r="D87" s="31" t="str">
        <f>All!N93</f>
        <v>B2B</v>
      </c>
    </row>
    <row r="88" hidden="1">
      <c r="A88" s="28" t="str">
        <f>All!A94</f>
        <v>Astek Diagnostics</v>
      </c>
      <c r="B88" s="35" t="str">
        <f>All!B94</f>
        <v>$2m</v>
      </c>
      <c r="C88" s="28" t="str">
        <f>All!D94</f>
        <v>Teardown of Astek Diagnostics's $2m Seed deck</v>
      </c>
      <c r="D88" s="31" t="str">
        <f>All!N94</f>
        <v>B2B</v>
      </c>
    </row>
    <row r="89" hidden="1">
      <c r="A89" s="28" t="str">
        <f>All!A95</f>
        <v>SuperScale</v>
      </c>
      <c r="B89" s="35" t="str">
        <f>All!B95</f>
        <v>$4.4m</v>
      </c>
      <c r="C89" s="28" t="str">
        <f>All!D95</f>
        <v>Teardown of SuperScale's $4.4m Series A deck</v>
      </c>
      <c r="D89" s="31" t="str">
        <f>All!N95</f>
        <v>B2B</v>
      </c>
    </row>
    <row r="90" hidden="1">
      <c r="A90" s="28" t="str">
        <f>All!A96</f>
        <v>Protecto</v>
      </c>
      <c r="B90" s="35" t="str">
        <f>All!B96</f>
        <v>$4m</v>
      </c>
      <c r="C90" s="28" t="str">
        <f>All!D96</f>
        <v>Teardown of Protecto's $4m Seed deck</v>
      </c>
      <c r="D90" s="31" t="str">
        <f>All!N96</f>
        <v>B2B</v>
      </c>
    </row>
    <row r="91" hidden="1">
      <c r="A91" s="28" t="str">
        <f>All!A97</f>
        <v>Plantee Innovations</v>
      </c>
      <c r="B91" s="35" t="str">
        <f>All!B97</f>
        <v>$1.4m</v>
      </c>
      <c r="C91" s="28" t="str">
        <f>All!D97</f>
        <v>Teardown of Plantee Innovations's $1.4m Seed deck</v>
      </c>
      <c r="D91" s="31" t="str">
        <f>All!N97</f>
        <v>B2C</v>
      </c>
    </row>
    <row r="92" hidden="1">
      <c r="A92" s="28" t="str">
        <f>All!A98</f>
        <v>Queerie</v>
      </c>
      <c r="B92" s="35" t="str">
        <f>All!B98</f>
        <v>$300k</v>
      </c>
      <c r="C92" s="28" t="str">
        <f>All!D98</f>
        <v>Teardown of Queerie's $300k Pre-seed deck</v>
      </c>
      <c r="D92" s="31" t="str">
        <f>All!N98</f>
        <v>B2C</v>
      </c>
    </row>
    <row r="93">
      <c r="A93" s="35" t="str">
        <f>All!A56</f>
        <v>The Perfect Pitch Deck</v>
      </c>
      <c r="B93" s="35" t="str">
        <f>All!B56</f>
        <v>$1m</v>
      </c>
      <c r="C93" s="28" t="str">
        <f>All!D56</f>
        <v>Teardown of The Perfect Pitch Deck's $1m Seed deck</v>
      </c>
      <c r="D93" s="46" t="str">
        <f>All!N56</f>
        <v>B2B2C</v>
      </c>
    </row>
    <row r="94" hidden="1">
      <c r="A94" s="28" t="str">
        <f>All!A100</f>
        <v>Geodesic.Life</v>
      </c>
      <c r="B94" s="35" t="str">
        <f>All!B100</f>
        <v>$500k</v>
      </c>
      <c r="C94" s="28" t="str">
        <f>All!D100</f>
        <v>Teardown of Geodesic.Life's $500k Pre-seed deck</v>
      </c>
      <c r="D94" s="31" t="str">
        <f>All!N100</f>
        <v>B2C</v>
      </c>
    </row>
    <row r="95" hidden="1">
      <c r="A95" s="28" t="str">
        <f>All!A101</f>
        <v>NOQX</v>
      </c>
      <c r="B95" s="35" t="str">
        <f>All!B101</f>
        <v>$200k</v>
      </c>
      <c r="C95" s="28" t="str">
        <f>All!D101</f>
        <v>Teardown of NOQX's $200k Pre-seed deck</v>
      </c>
      <c r="D95" s="31" t="str">
        <f>All!N101</f>
        <v>B2B</v>
      </c>
    </row>
    <row r="96" hidden="1">
      <c r="A96" s="28" t="str">
        <f>All!A102</f>
        <v>Cloudsmith</v>
      </c>
      <c r="B96" s="35" t="str">
        <f>All!B102</f>
        <v>$15m</v>
      </c>
      <c r="C96" s="28" t="str">
        <f>All!D102</f>
        <v>Teardown of Cloudsmith's $15m Series A deck</v>
      </c>
      <c r="D96" s="31" t="str">
        <f>All!N102</f>
        <v>B2B</v>
      </c>
    </row>
    <row r="97" hidden="1">
      <c r="A97" s="28" t="str">
        <f>All!A103</f>
        <v>Goodcarbon</v>
      </c>
      <c r="B97" s="35" t="str">
        <f>All!B103</f>
        <v>$5.5m</v>
      </c>
      <c r="C97" s="28" t="str">
        <f>All!D103</f>
        <v>Teardown of Goodcarbon's $5.5m Seed deck</v>
      </c>
      <c r="D97" s="31" t="str">
        <f>All!N103</f>
        <v>B2B</v>
      </c>
    </row>
    <row r="98" hidden="1">
      <c r="A98" s="28" t="str">
        <f>All!A104</f>
        <v>Terra One</v>
      </c>
      <c r="B98" s="35" t="str">
        <f>All!B104</f>
        <v>$7.5m</v>
      </c>
      <c r="C98" s="28" t="str">
        <f>All!D104</f>
        <v>Teardown of Terra One's $7.5m Seed deck</v>
      </c>
      <c r="D98" s="31" t="str">
        <f>All!N104</f>
        <v>B2B</v>
      </c>
    </row>
    <row r="99" hidden="1">
      <c r="A99" s="28" t="str">
        <f>All!A105</f>
        <v>RAW Dating App</v>
      </c>
      <c r="B99" s="35" t="str">
        <f>All!B105</f>
        <v>$3m</v>
      </c>
      <c r="C99" s="28" t="str">
        <f>All!D105</f>
        <v>Teardown of RAW Dating App's $3m Angel deck</v>
      </c>
      <c r="D99" s="31" t="str">
        <f>All!N105</f>
        <v>B2C</v>
      </c>
    </row>
    <row r="100" hidden="1">
      <c r="A100" s="28" t="str">
        <f>All!A106</f>
        <v>Kinnect</v>
      </c>
      <c r="B100" s="35" t="str">
        <f>All!B106</f>
        <v>$250k</v>
      </c>
      <c r="C100" s="28" t="str">
        <f>All!D106</f>
        <v>Teardown of Kinnect's $250k Angel deck</v>
      </c>
      <c r="D100" s="31" t="str">
        <f>All!N106</f>
        <v>B2C</v>
      </c>
    </row>
    <row r="101">
      <c r="A101" s="28" t="str">
        <f>All!A99</f>
        <v>Xpanceo</v>
      </c>
      <c r="B101" s="35" t="str">
        <f>All!B99</f>
        <v>$40m</v>
      </c>
      <c r="C101" s="28" t="str">
        <f>All!D99</f>
        <v>Teardown of Xpanceo's $40m Seed deck</v>
      </c>
      <c r="D101" s="46" t="str">
        <f>All!N99</f>
        <v>B2B2C</v>
      </c>
    </row>
    <row r="102" hidden="1">
      <c r="A102" s="28" t="str">
        <f>All!A108</f>
        <v>Megamod</v>
      </c>
      <c r="B102" s="35" t="str">
        <f>All!B108</f>
        <v>$1.9m</v>
      </c>
      <c r="C102" s="28" t="str">
        <f>All!D108</f>
        <v>Teardown of Megamod's $1.9m Seed deck</v>
      </c>
      <c r="D102" s="31" t="str">
        <f>All!N108</f>
        <v>B2C</v>
      </c>
    </row>
    <row r="103" hidden="1">
      <c r="A103" s="35" t="str">
        <f>All!A109</f>
        <v/>
      </c>
      <c r="B103" s="35" t="str">
        <f>All!B109</f>
        <v/>
      </c>
      <c r="C103" s="35" t="str">
        <f>All!D109</f>
        <v/>
      </c>
      <c r="D103" s="31" t="str">
        <f>All!N109</f>
        <v/>
      </c>
    </row>
    <row r="104" hidden="1">
      <c r="A104" s="35" t="str">
        <f>All!A110</f>
        <v/>
      </c>
      <c r="B104" s="35" t="str">
        <f>All!B110</f>
        <v/>
      </c>
      <c r="C104" s="35" t="str">
        <f>All!D110</f>
        <v/>
      </c>
      <c r="D104" s="31" t="str">
        <f>All!N110</f>
        <v/>
      </c>
    </row>
    <row r="105" hidden="1">
      <c r="A105" s="35" t="str">
        <f>All!A111</f>
        <v/>
      </c>
      <c r="B105" s="35" t="str">
        <f>All!B111</f>
        <v/>
      </c>
      <c r="C105" s="35" t="str">
        <f>All!D111</f>
        <v/>
      </c>
      <c r="D105" s="31" t="str">
        <f>All!N111</f>
        <v/>
      </c>
    </row>
    <row r="106" hidden="1">
      <c r="A106" s="35" t="str">
        <f>All!A112</f>
        <v/>
      </c>
      <c r="B106" s="35" t="str">
        <f>All!B112</f>
        <v/>
      </c>
      <c r="C106" s="35" t="str">
        <f>All!D112</f>
        <v/>
      </c>
      <c r="D106" s="31" t="str">
        <f>All!N112</f>
        <v/>
      </c>
    </row>
    <row r="107" hidden="1">
      <c r="A107" s="35" t="str">
        <f>All!A113</f>
        <v/>
      </c>
      <c r="B107" s="35" t="str">
        <f>All!B113</f>
        <v/>
      </c>
      <c r="C107" s="35" t="str">
        <f>All!D113</f>
        <v/>
      </c>
      <c r="D107" s="31" t="str">
        <f>All!N113</f>
        <v/>
      </c>
    </row>
    <row r="108" hidden="1">
      <c r="A108" s="35" t="str">
        <f>All!A114</f>
        <v/>
      </c>
      <c r="B108" s="35" t="str">
        <f>All!B114</f>
        <v/>
      </c>
      <c r="C108" s="35" t="str">
        <f>All!D114</f>
        <v/>
      </c>
      <c r="D108" s="31" t="str">
        <f>All!N114</f>
        <v/>
      </c>
    </row>
    <row r="109" hidden="1">
      <c r="A109" s="35" t="str">
        <f>All!A115</f>
        <v/>
      </c>
      <c r="B109" s="35" t="str">
        <f>All!B115</f>
        <v/>
      </c>
      <c r="C109" s="35" t="str">
        <f>All!D115</f>
        <v/>
      </c>
      <c r="D109" s="31" t="str">
        <f>All!N115</f>
        <v/>
      </c>
    </row>
    <row r="110" hidden="1">
      <c r="A110" s="35" t="str">
        <f>All!A116</f>
        <v/>
      </c>
      <c r="B110" s="35" t="str">
        <f>All!B116</f>
        <v/>
      </c>
      <c r="C110" s="35" t="str">
        <f>All!D116</f>
        <v/>
      </c>
      <c r="D110" s="31" t="str">
        <f>All!N116</f>
        <v/>
      </c>
    </row>
    <row r="111" hidden="1">
      <c r="A111" s="35" t="str">
        <f>All!A117</f>
        <v/>
      </c>
      <c r="B111" s="35" t="str">
        <f>All!B117</f>
        <v/>
      </c>
      <c r="C111" s="35" t="str">
        <f>All!D117</f>
        <v/>
      </c>
      <c r="D111" s="31" t="str">
        <f>All!N117</f>
        <v/>
      </c>
    </row>
    <row r="112" hidden="1">
      <c r="A112" s="35" t="str">
        <f>All!A118</f>
        <v/>
      </c>
      <c r="B112" s="35" t="str">
        <f>All!B118</f>
        <v/>
      </c>
      <c r="C112" s="35" t="str">
        <f>All!D118</f>
        <v/>
      </c>
      <c r="D112" s="31" t="str">
        <f>All!N118</f>
        <v/>
      </c>
    </row>
    <row r="113" hidden="1">
      <c r="A113" s="35" t="str">
        <f>All!A119</f>
        <v/>
      </c>
      <c r="B113" s="35" t="str">
        <f>All!B119</f>
        <v/>
      </c>
      <c r="C113" s="35" t="str">
        <f>All!D119</f>
        <v/>
      </c>
      <c r="D113" s="31" t="str">
        <f>All!N119</f>
        <v/>
      </c>
    </row>
    <row r="114" hidden="1">
      <c r="A114" s="35" t="str">
        <f>All!A120</f>
        <v/>
      </c>
      <c r="B114" s="35" t="str">
        <f>All!B120</f>
        <v/>
      </c>
      <c r="C114" s="35" t="str">
        <f>All!D120</f>
        <v/>
      </c>
      <c r="D114" s="31" t="str">
        <f>All!N120</f>
        <v/>
      </c>
    </row>
    <row r="115" hidden="1">
      <c r="A115" s="35" t="str">
        <f>All!A121</f>
        <v/>
      </c>
      <c r="B115" s="35" t="str">
        <f>All!B121</f>
        <v/>
      </c>
      <c r="C115" s="35" t="str">
        <f>All!D121</f>
        <v/>
      </c>
      <c r="D115" s="31" t="str">
        <f>All!N121</f>
        <v/>
      </c>
    </row>
    <row r="116" hidden="1">
      <c r="A116" s="35" t="str">
        <f>All!A122</f>
        <v/>
      </c>
      <c r="B116" s="35" t="str">
        <f>All!B122</f>
        <v/>
      </c>
      <c r="C116" s="35" t="str">
        <f>All!D122</f>
        <v/>
      </c>
      <c r="D116" s="31" t="str">
        <f>All!N122</f>
        <v/>
      </c>
    </row>
    <row r="117" hidden="1">
      <c r="A117" s="35" t="str">
        <f>All!A123</f>
        <v/>
      </c>
      <c r="B117" s="35" t="str">
        <f>All!B123</f>
        <v/>
      </c>
      <c r="C117" s="35" t="str">
        <f>All!D123</f>
        <v/>
      </c>
      <c r="D117" s="31" t="str">
        <f>All!N123</f>
        <v/>
      </c>
    </row>
    <row r="118" hidden="1">
      <c r="A118" s="35" t="str">
        <f>All!A124</f>
        <v/>
      </c>
      <c r="B118" s="35" t="str">
        <f>All!B124</f>
        <v/>
      </c>
      <c r="C118" s="35" t="str">
        <f>All!D124</f>
        <v/>
      </c>
      <c r="D118" s="31" t="str">
        <f>All!N124</f>
        <v/>
      </c>
    </row>
    <row r="119" hidden="1">
      <c r="A119" s="35" t="str">
        <f>All!A125</f>
        <v/>
      </c>
      <c r="B119" s="35" t="str">
        <f>All!B125</f>
        <v/>
      </c>
      <c r="C119" s="35" t="str">
        <f>All!D125</f>
        <v/>
      </c>
      <c r="D119" s="31" t="str">
        <f>All!N125</f>
        <v/>
      </c>
    </row>
    <row r="120" hidden="1">
      <c r="A120" s="35" t="str">
        <f>All!A126</f>
        <v/>
      </c>
      <c r="B120" s="35" t="str">
        <f>All!B126</f>
        <v/>
      </c>
      <c r="C120" s="35" t="str">
        <f>All!D126</f>
        <v/>
      </c>
      <c r="D120" s="31" t="str">
        <f>All!N126</f>
        <v/>
      </c>
    </row>
    <row r="121" hidden="1">
      <c r="A121" s="35" t="str">
        <f>All!A127</f>
        <v/>
      </c>
      <c r="B121" s="35" t="str">
        <f>All!B127</f>
        <v/>
      </c>
      <c r="C121" s="35" t="str">
        <f>All!D127</f>
        <v/>
      </c>
      <c r="D121" s="31" t="str">
        <f>All!N127</f>
        <v/>
      </c>
    </row>
    <row r="122" hidden="1">
      <c r="A122" s="35" t="str">
        <f>All!A128</f>
        <v/>
      </c>
      <c r="B122" s="35" t="str">
        <f>All!B128</f>
        <v/>
      </c>
      <c r="C122" s="35" t="str">
        <f>All!D128</f>
        <v/>
      </c>
      <c r="D122" s="31" t="str">
        <f>All!N128</f>
        <v/>
      </c>
    </row>
    <row r="123" hidden="1">
      <c r="A123" s="35" t="str">
        <f>All!A129</f>
        <v/>
      </c>
      <c r="B123" s="35" t="str">
        <f>All!B129</f>
        <v/>
      </c>
      <c r="C123" s="35" t="str">
        <f>All!D129</f>
        <v/>
      </c>
      <c r="D123" s="31" t="str">
        <f>All!N129</f>
        <v/>
      </c>
    </row>
    <row r="124" hidden="1">
      <c r="A124" s="35" t="str">
        <f>All!A130</f>
        <v/>
      </c>
      <c r="B124" s="35" t="str">
        <f>All!B130</f>
        <v/>
      </c>
      <c r="C124" s="35" t="str">
        <f>All!D130</f>
        <v/>
      </c>
      <c r="D124" s="31" t="str">
        <f>All!N130</f>
        <v/>
      </c>
    </row>
    <row r="125" hidden="1">
      <c r="A125" s="35" t="str">
        <f>All!A131</f>
        <v/>
      </c>
      <c r="B125" s="35" t="str">
        <f>All!B131</f>
        <v/>
      </c>
      <c r="C125" s="35" t="str">
        <f>All!D131</f>
        <v/>
      </c>
      <c r="D125" s="31" t="str">
        <f>All!N131</f>
        <v/>
      </c>
    </row>
    <row r="126" hidden="1">
      <c r="A126" s="35" t="str">
        <f>All!A132</f>
        <v/>
      </c>
      <c r="B126" s="35" t="str">
        <f>All!B132</f>
        <v/>
      </c>
      <c r="C126" s="35" t="str">
        <f>All!D132</f>
        <v/>
      </c>
      <c r="D126" s="31" t="str">
        <f>All!N132</f>
        <v/>
      </c>
    </row>
    <row r="127" hidden="1">
      <c r="A127" s="35" t="str">
        <f>All!A133</f>
        <v/>
      </c>
      <c r="B127" s="35" t="str">
        <f>All!B133</f>
        <v/>
      </c>
      <c r="C127" s="35" t="str">
        <f>All!D133</f>
        <v/>
      </c>
      <c r="D127" s="31" t="str">
        <f>All!N133</f>
        <v/>
      </c>
    </row>
    <row r="128" hidden="1">
      <c r="A128" s="35" t="str">
        <f>All!A134</f>
        <v/>
      </c>
      <c r="B128" s="35" t="str">
        <f>All!B134</f>
        <v/>
      </c>
      <c r="C128" s="35" t="str">
        <f>All!D134</f>
        <v/>
      </c>
      <c r="D128" s="31" t="str">
        <f>All!N134</f>
        <v/>
      </c>
    </row>
    <row r="129" hidden="1">
      <c r="A129" s="35" t="str">
        <f>All!A135</f>
        <v/>
      </c>
      <c r="B129" s="35" t="str">
        <f>All!B135</f>
        <v/>
      </c>
      <c r="C129" s="35" t="str">
        <f>All!D135</f>
        <v/>
      </c>
      <c r="D129" s="31" t="str">
        <f>All!N135</f>
        <v/>
      </c>
    </row>
    <row r="130" hidden="1">
      <c r="A130" s="35" t="str">
        <f>All!A136</f>
        <v/>
      </c>
      <c r="B130" s="35" t="str">
        <f>All!B136</f>
        <v/>
      </c>
      <c r="C130" s="35" t="str">
        <f>All!D136</f>
        <v/>
      </c>
      <c r="D130" s="31" t="str">
        <f>All!N136</f>
        <v/>
      </c>
    </row>
    <row r="131" hidden="1">
      <c r="A131" s="35" t="str">
        <f>All!A137</f>
        <v/>
      </c>
      <c r="B131" s="35" t="str">
        <f>All!B137</f>
        <v/>
      </c>
      <c r="C131" s="35" t="str">
        <f>All!D137</f>
        <v/>
      </c>
      <c r="D131" s="31" t="str">
        <f>All!N137</f>
        <v/>
      </c>
    </row>
    <row r="132" hidden="1">
      <c r="A132" s="35" t="str">
        <f>All!A138</f>
        <v/>
      </c>
      <c r="B132" s="35" t="str">
        <f>All!B138</f>
        <v/>
      </c>
      <c r="C132" s="35" t="str">
        <f>All!D138</f>
        <v/>
      </c>
      <c r="D132" s="31" t="str">
        <f>All!N138</f>
        <v/>
      </c>
    </row>
    <row r="133" hidden="1">
      <c r="A133" s="35" t="str">
        <f>All!A139</f>
        <v/>
      </c>
      <c r="B133" s="35" t="str">
        <f>All!B139</f>
        <v/>
      </c>
      <c r="C133" s="35" t="str">
        <f>All!D139</f>
        <v/>
      </c>
    </row>
    <row r="134" hidden="1">
      <c r="A134" s="35" t="str">
        <f>All!A140</f>
        <v/>
      </c>
      <c r="B134" s="35" t="str">
        <f>All!B140</f>
        <v/>
      </c>
      <c r="C134" s="35" t="str">
        <f>All!D140</f>
        <v/>
      </c>
    </row>
    <row r="135" hidden="1">
      <c r="A135" s="35" t="str">
        <f>All!A141</f>
        <v/>
      </c>
      <c r="B135" s="35" t="str">
        <f>All!B141</f>
        <v/>
      </c>
      <c r="C135" s="35" t="str">
        <f>All!D141</f>
        <v/>
      </c>
    </row>
    <row r="136" hidden="1">
      <c r="A136" s="35" t="str">
        <f>All!A142</f>
        <v/>
      </c>
      <c r="B136" s="35" t="str">
        <f>All!B142</f>
        <v/>
      </c>
      <c r="C136" s="35" t="str">
        <f>All!D142</f>
        <v/>
      </c>
    </row>
    <row r="137" hidden="1">
      <c r="A137" s="35" t="str">
        <f>All!A143</f>
        <v/>
      </c>
      <c r="B137" s="35" t="str">
        <f>All!B143</f>
        <v/>
      </c>
      <c r="C137" s="35" t="str">
        <f>All!D143</f>
        <v/>
      </c>
    </row>
    <row r="138" hidden="1">
      <c r="A138" s="35" t="str">
        <f>All!A144</f>
        <v/>
      </c>
      <c r="B138" s="35" t="str">
        <f>All!B144</f>
        <v/>
      </c>
      <c r="C138" s="35" t="str">
        <f>All!D144</f>
        <v/>
      </c>
    </row>
    <row r="139" hidden="1">
      <c r="A139" s="35" t="str">
        <f>All!A145</f>
        <v/>
      </c>
      <c r="B139" s="35" t="str">
        <f>All!B145</f>
        <v/>
      </c>
      <c r="C139" s="35" t="str">
        <f>All!D145</f>
        <v/>
      </c>
    </row>
    <row r="140" hidden="1">
      <c r="A140" s="35" t="str">
        <f>All!A146</f>
        <v/>
      </c>
      <c r="B140" s="35" t="str">
        <f>All!B146</f>
        <v/>
      </c>
      <c r="C140" s="35" t="str">
        <f>All!D146</f>
        <v/>
      </c>
    </row>
    <row r="141" hidden="1">
      <c r="A141" s="35" t="str">
        <f>All!A147</f>
        <v/>
      </c>
      <c r="B141" s="35" t="str">
        <f>All!B147</f>
        <v/>
      </c>
      <c r="C141" s="35" t="str">
        <f>All!D147</f>
        <v/>
      </c>
    </row>
    <row r="142" hidden="1">
      <c r="A142" s="35" t="str">
        <f>All!A148</f>
        <v/>
      </c>
      <c r="B142" s="35" t="str">
        <f>All!B148</f>
        <v/>
      </c>
      <c r="C142" s="35" t="str">
        <f>All!D148</f>
        <v/>
      </c>
    </row>
    <row r="143" hidden="1">
      <c r="A143" s="35" t="str">
        <f>All!A149</f>
        <v/>
      </c>
      <c r="B143" s="35" t="str">
        <f>All!B149</f>
        <v/>
      </c>
      <c r="C143" s="35" t="str">
        <f>All!D149</f>
        <v/>
      </c>
    </row>
    <row r="144" hidden="1">
      <c r="A144" s="35" t="str">
        <f>All!A150</f>
        <v/>
      </c>
      <c r="B144" s="35" t="str">
        <f>All!B150</f>
        <v/>
      </c>
      <c r="C144" s="35" t="str">
        <f>All!D150</f>
        <v/>
      </c>
    </row>
    <row r="145" hidden="1">
      <c r="A145" s="35" t="str">
        <f>All!A151</f>
        <v/>
      </c>
      <c r="B145" s="35" t="str">
        <f>All!B151</f>
        <v/>
      </c>
      <c r="C145" s="35" t="str">
        <f>All!D151</f>
        <v/>
      </c>
    </row>
    <row r="146" hidden="1">
      <c r="A146" s="35" t="str">
        <f>All!A152</f>
        <v/>
      </c>
      <c r="B146" s="35" t="str">
        <f>All!B152</f>
        <v/>
      </c>
      <c r="C146" s="35" t="str">
        <f>All!D152</f>
        <v/>
      </c>
    </row>
    <row r="147" hidden="1">
      <c r="A147" s="35" t="str">
        <f>All!A153</f>
        <v/>
      </c>
      <c r="B147" s="35" t="str">
        <f>All!B153</f>
        <v/>
      </c>
      <c r="C147" s="35" t="str">
        <f>All!D153</f>
        <v/>
      </c>
    </row>
    <row r="148" hidden="1">
      <c r="A148" s="35" t="str">
        <f>All!A154</f>
        <v/>
      </c>
      <c r="B148" s="35" t="str">
        <f>All!B154</f>
        <v/>
      </c>
      <c r="C148" s="35" t="str">
        <f>All!D154</f>
        <v/>
      </c>
    </row>
    <row r="149" hidden="1">
      <c r="A149" s="35" t="str">
        <f>All!A155</f>
        <v/>
      </c>
      <c r="B149" s="35" t="str">
        <f>All!B155</f>
        <v/>
      </c>
      <c r="C149" s="35" t="str">
        <f>All!D155</f>
        <v/>
      </c>
    </row>
    <row r="150" hidden="1">
      <c r="A150" s="35" t="str">
        <f>All!A156</f>
        <v/>
      </c>
      <c r="B150" s="35" t="str">
        <f>All!B156</f>
        <v/>
      </c>
      <c r="C150" s="35" t="str">
        <f>All!D156</f>
        <v/>
      </c>
    </row>
    <row r="151" hidden="1">
      <c r="A151" s="35" t="str">
        <f>All!A157</f>
        <v/>
      </c>
      <c r="B151" s="35" t="str">
        <f>All!B157</f>
        <v/>
      </c>
      <c r="C151" s="35" t="str">
        <f>All!D157</f>
        <v/>
      </c>
    </row>
    <row r="152" hidden="1">
      <c r="A152" s="35" t="str">
        <f>All!A158</f>
        <v/>
      </c>
      <c r="B152" s="35" t="str">
        <f>All!B158</f>
        <v/>
      </c>
      <c r="C152" s="35" t="str">
        <f>All!D158</f>
        <v/>
      </c>
    </row>
    <row r="153" hidden="1">
      <c r="A153" s="35" t="str">
        <f>All!A159</f>
        <v/>
      </c>
      <c r="B153" s="35" t="str">
        <f>All!B159</f>
        <v/>
      </c>
      <c r="C153" s="35" t="str">
        <f>All!D159</f>
        <v/>
      </c>
    </row>
    <row r="154" hidden="1">
      <c r="A154" s="35" t="str">
        <f>All!A160</f>
        <v/>
      </c>
      <c r="B154" s="35" t="str">
        <f>All!B160</f>
        <v/>
      </c>
      <c r="C154" s="35" t="str">
        <f>All!D160</f>
        <v/>
      </c>
    </row>
    <row r="155" hidden="1">
      <c r="A155" s="35" t="str">
        <f>All!A161</f>
        <v/>
      </c>
      <c r="B155" s="35" t="str">
        <f>All!B161</f>
        <v/>
      </c>
      <c r="C155" s="35" t="str">
        <f>All!D161</f>
        <v/>
      </c>
    </row>
    <row r="156" hidden="1">
      <c r="A156" s="35" t="str">
        <f>All!A162</f>
        <v/>
      </c>
      <c r="B156" s="35" t="str">
        <f>All!B162</f>
        <v/>
      </c>
      <c r="C156" s="35" t="str">
        <f>All!D162</f>
        <v/>
      </c>
    </row>
    <row r="157" hidden="1">
      <c r="A157" s="35" t="str">
        <f>All!A163</f>
        <v/>
      </c>
      <c r="B157" s="35" t="str">
        <f>All!B163</f>
        <v/>
      </c>
      <c r="C157" s="35" t="str">
        <f>All!D163</f>
        <v/>
      </c>
    </row>
    <row r="158" hidden="1">
      <c r="A158" s="35" t="str">
        <f>All!A164</f>
        <v/>
      </c>
      <c r="B158" s="35" t="str">
        <f>All!B164</f>
        <v/>
      </c>
      <c r="C158" s="35" t="str">
        <f>All!D164</f>
        <v/>
      </c>
    </row>
    <row r="159" hidden="1">
      <c r="A159" s="35" t="str">
        <f>All!A165</f>
        <v/>
      </c>
      <c r="B159" s="35" t="str">
        <f>All!B165</f>
        <v/>
      </c>
      <c r="C159" s="35" t="str">
        <f>All!D165</f>
        <v/>
      </c>
    </row>
    <row r="160" hidden="1">
      <c r="A160" s="35" t="str">
        <f>All!A166</f>
        <v/>
      </c>
      <c r="B160" s="35" t="str">
        <f>All!B166</f>
        <v/>
      </c>
      <c r="C160" s="35" t="str">
        <f>All!D166</f>
        <v/>
      </c>
    </row>
    <row r="161" hidden="1">
      <c r="A161" s="35" t="str">
        <f>All!A167</f>
        <v/>
      </c>
      <c r="B161" s="35" t="str">
        <f>All!B167</f>
        <v/>
      </c>
      <c r="C161" s="35" t="str">
        <f>All!D167</f>
        <v/>
      </c>
    </row>
    <row r="162" hidden="1">
      <c r="A162" s="35" t="str">
        <f>All!A168</f>
        <v/>
      </c>
      <c r="B162" s="35" t="str">
        <f>All!B168</f>
        <v/>
      </c>
      <c r="C162" s="35" t="str">
        <f>All!D168</f>
        <v/>
      </c>
    </row>
    <row r="163" hidden="1">
      <c r="A163" s="35" t="str">
        <f>All!A169</f>
        <v/>
      </c>
      <c r="B163" s="35" t="str">
        <f>All!B169</f>
        <v/>
      </c>
      <c r="C163" s="35" t="str">
        <f>All!D169</f>
        <v/>
      </c>
    </row>
    <row r="164" hidden="1">
      <c r="A164" s="35" t="str">
        <f>All!A170</f>
        <v/>
      </c>
      <c r="B164" s="35" t="str">
        <f>All!B170</f>
        <v/>
      </c>
      <c r="C164" s="35" t="str">
        <f>All!D170</f>
        <v/>
      </c>
    </row>
    <row r="165" hidden="1">
      <c r="A165" s="35" t="str">
        <f>All!A171</f>
        <v/>
      </c>
      <c r="B165" s="35" t="str">
        <f>All!B171</f>
        <v/>
      </c>
      <c r="C165" s="35" t="str">
        <f>All!D171</f>
        <v/>
      </c>
    </row>
    <row r="166" hidden="1">
      <c r="A166" s="35" t="str">
        <f>All!A172</f>
        <v/>
      </c>
      <c r="B166" s="35" t="str">
        <f>All!B172</f>
        <v/>
      </c>
      <c r="C166" s="35" t="str">
        <f>All!D172</f>
        <v/>
      </c>
    </row>
    <row r="167" hidden="1">
      <c r="A167" s="35" t="str">
        <f>All!A173</f>
        <v/>
      </c>
      <c r="B167" s="35" t="str">
        <f>All!B173</f>
        <v/>
      </c>
      <c r="C167" s="35" t="str">
        <f>All!D173</f>
        <v/>
      </c>
    </row>
    <row r="168" hidden="1">
      <c r="A168" s="35" t="str">
        <f>All!A174</f>
        <v/>
      </c>
      <c r="B168" s="35" t="str">
        <f>All!B174</f>
        <v/>
      </c>
      <c r="C168" s="35" t="str">
        <f>All!D174</f>
        <v/>
      </c>
    </row>
    <row r="169" hidden="1">
      <c r="A169" s="35" t="str">
        <f>All!A175</f>
        <v/>
      </c>
      <c r="B169" s="35" t="str">
        <f>All!B175</f>
        <v/>
      </c>
      <c r="C169" s="35" t="str">
        <f>All!D175</f>
        <v/>
      </c>
    </row>
    <row r="170" hidden="1">
      <c r="A170" s="35" t="str">
        <f>All!A176</f>
        <v/>
      </c>
      <c r="B170" s="35" t="str">
        <f>All!B176</f>
        <v/>
      </c>
      <c r="C170" s="35" t="str">
        <f>All!D176</f>
        <v/>
      </c>
    </row>
    <row r="171" hidden="1">
      <c r="A171" s="35" t="str">
        <f>All!A177</f>
        <v/>
      </c>
      <c r="B171" s="35" t="str">
        <f>All!B177</f>
        <v/>
      </c>
      <c r="C171" s="35" t="str">
        <f>All!D177</f>
        <v/>
      </c>
    </row>
    <row r="172" hidden="1">
      <c r="A172" s="35" t="str">
        <f>All!A178</f>
        <v/>
      </c>
      <c r="B172" s="35" t="str">
        <f>All!B178</f>
        <v/>
      </c>
      <c r="C172" s="35" t="str">
        <f>All!D178</f>
        <v/>
      </c>
    </row>
    <row r="173" hidden="1">
      <c r="A173" s="35" t="str">
        <f>All!A179</f>
        <v/>
      </c>
      <c r="B173" s="35" t="str">
        <f>All!B179</f>
        <v/>
      </c>
      <c r="C173" s="35" t="str">
        <f>All!D179</f>
        <v/>
      </c>
    </row>
    <row r="174" hidden="1">
      <c r="A174" s="35" t="str">
        <f>All!A180</f>
        <v/>
      </c>
      <c r="B174" s="35" t="str">
        <f>All!B180</f>
        <v/>
      </c>
      <c r="C174" s="35" t="str">
        <f>All!D180</f>
        <v/>
      </c>
    </row>
    <row r="175" hidden="1">
      <c r="A175" s="35" t="str">
        <f>All!A181</f>
        <v/>
      </c>
      <c r="B175" s="35" t="str">
        <f>All!B181</f>
        <v/>
      </c>
      <c r="C175" s="35" t="str">
        <f>All!D181</f>
        <v/>
      </c>
    </row>
    <row r="176" hidden="1">
      <c r="A176" s="35" t="str">
        <f>All!A182</f>
        <v/>
      </c>
      <c r="B176" s="35" t="str">
        <f>All!B182</f>
        <v/>
      </c>
      <c r="C176" s="35" t="str">
        <f>All!D182</f>
        <v/>
      </c>
    </row>
    <row r="177" hidden="1">
      <c r="A177" s="35" t="str">
        <f>All!A183</f>
        <v/>
      </c>
      <c r="B177" s="35" t="str">
        <f>All!B183</f>
        <v/>
      </c>
      <c r="C177" s="35" t="str">
        <f>All!D183</f>
        <v/>
      </c>
    </row>
    <row r="178" hidden="1">
      <c r="A178" s="35" t="str">
        <f>All!A184</f>
        <v/>
      </c>
      <c r="B178" s="35" t="str">
        <f>All!B184</f>
        <v/>
      </c>
      <c r="C178" s="35" t="str">
        <f>All!D184</f>
        <v/>
      </c>
    </row>
    <row r="179" hidden="1">
      <c r="A179" s="35" t="str">
        <f>All!A185</f>
        <v/>
      </c>
      <c r="B179" s="35" t="str">
        <f>All!B185</f>
        <v/>
      </c>
      <c r="C179" s="35" t="str">
        <f>All!D185</f>
        <v/>
      </c>
    </row>
    <row r="180" hidden="1">
      <c r="A180" s="35" t="str">
        <f>All!A186</f>
        <v/>
      </c>
      <c r="B180" s="35" t="str">
        <f>All!B186</f>
        <v/>
      </c>
      <c r="C180" s="35" t="str">
        <f>All!D186</f>
        <v/>
      </c>
    </row>
    <row r="181" hidden="1">
      <c r="A181" s="35" t="str">
        <f>All!A187</f>
        <v/>
      </c>
      <c r="B181" s="35" t="str">
        <f>All!B187</f>
        <v/>
      </c>
      <c r="C181" s="35" t="str">
        <f>All!D187</f>
        <v/>
      </c>
    </row>
    <row r="182" hidden="1">
      <c r="A182" s="35" t="str">
        <f>All!A188</f>
        <v/>
      </c>
      <c r="B182" s="35" t="str">
        <f>All!B188</f>
        <v/>
      </c>
      <c r="C182" s="35" t="str">
        <f>All!D188</f>
        <v/>
      </c>
    </row>
    <row r="183" hidden="1">
      <c r="A183" s="35" t="str">
        <f>All!A189</f>
        <v/>
      </c>
      <c r="B183" s="35" t="str">
        <f>All!B189</f>
        <v/>
      </c>
      <c r="C183" s="35" t="str">
        <f>All!D189</f>
        <v/>
      </c>
    </row>
    <row r="184" hidden="1">
      <c r="A184" s="35" t="str">
        <f>All!A190</f>
        <v/>
      </c>
      <c r="B184" s="35" t="str">
        <f>All!B190</f>
        <v/>
      </c>
      <c r="C184" s="35" t="str">
        <f>All!D190</f>
        <v/>
      </c>
    </row>
    <row r="185" hidden="1">
      <c r="A185" s="35" t="str">
        <f>All!A191</f>
        <v/>
      </c>
      <c r="B185" s="35" t="str">
        <f>All!B191</f>
        <v/>
      </c>
      <c r="C185" s="35" t="str">
        <f>All!D191</f>
        <v/>
      </c>
    </row>
    <row r="186" hidden="1">
      <c r="A186" s="35" t="str">
        <f>All!A192</f>
        <v/>
      </c>
      <c r="B186" s="35" t="str">
        <f>All!B192</f>
        <v/>
      </c>
      <c r="C186" s="35" t="str">
        <f>All!D192</f>
        <v/>
      </c>
    </row>
    <row r="187" hidden="1">
      <c r="A187" s="35" t="str">
        <f>All!A193</f>
        <v/>
      </c>
      <c r="B187" s="35" t="str">
        <f>All!B193</f>
        <v/>
      </c>
      <c r="C187" s="35" t="str">
        <f>All!D193</f>
        <v/>
      </c>
    </row>
    <row r="188" hidden="1">
      <c r="A188" s="35" t="str">
        <f>All!A194</f>
        <v/>
      </c>
      <c r="B188" s="35" t="str">
        <f>All!B194</f>
        <v/>
      </c>
      <c r="C188" s="35" t="str">
        <f>All!D194</f>
        <v/>
      </c>
    </row>
    <row r="189" hidden="1">
      <c r="A189" s="35" t="str">
        <f>All!A195</f>
        <v/>
      </c>
      <c r="B189" s="35" t="str">
        <f>All!B195</f>
        <v/>
      </c>
      <c r="C189" s="35" t="str">
        <f>All!D195</f>
        <v/>
      </c>
    </row>
    <row r="190" hidden="1">
      <c r="A190" s="35" t="str">
        <f>All!A196</f>
        <v/>
      </c>
      <c r="B190" s="35" t="str">
        <f>All!B196</f>
        <v/>
      </c>
      <c r="C190" s="35" t="str">
        <f>All!D196</f>
        <v/>
      </c>
    </row>
    <row r="191" hidden="1">
      <c r="A191" s="35" t="str">
        <f>All!A197</f>
        <v/>
      </c>
      <c r="B191" s="35" t="str">
        <f>All!B197</f>
        <v/>
      </c>
      <c r="C191" s="35" t="str">
        <f>All!D197</f>
        <v/>
      </c>
    </row>
    <row r="192" hidden="1">
      <c r="A192" s="35" t="str">
        <f>All!A198</f>
        <v/>
      </c>
      <c r="B192" s="35" t="str">
        <f>All!B198</f>
        <v/>
      </c>
      <c r="C192" s="35" t="str">
        <f>All!D198</f>
        <v/>
      </c>
    </row>
    <row r="193" hidden="1">
      <c r="A193" s="35" t="str">
        <f>All!A199</f>
        <v/>
      </c>
      <c r="B193" s="35" t="str">
        <f>All!B199</f>
        <v/>
      </c>
      <c r="C193" s="35" t="str">
        <f>All!D199</f>
        <v/>
      </c>
    </row>
    <row r="194" hidden="1">
      <c r="A194" s="35" t="str">
        <f>All!A200</f>
        <v/>
      </c>
      <c r="B194" s="35" t="str">
        <f>All!B200</f>
        <v/>
      </c>
      <c r="C194" s="35" t="str">
        <f>All!D200</f>
        <v/>
      </c>
    </row>
    <row r="195" hidden="1">
      <c r="A195" s="35" t="str">
        <f>All!A201</f>
        <v/>
      </c>
      <c r="B195" s="35" t="str">
        <f>All!B201</f>
        <v/>
      </c>
      <c r="C195" s="35" t="str">
        <f>All!D201</f>
        <v/>
      </c>
    </row>
    <row r="196" hidden="1">
      <c r="A196" s="35" t="str">
        <f>All!A202</f>
        <v/>
      </c>
      <c r="B196" s="35" t="str">
        <f>All!B202</f>
        <v/>
      </c>
      <c r="C196" s="35" t="str">
        <f>All!D202</f>
        <v/>
      </c>
    </row>
    <row r="197" hidden="1">
      <c r="A197" s="35" t="str">
        <f>All!A203</f>
        <v/>
      </c>
      <c r="B197" s="35" t="str">
        <f>All!B203</f>
        <v/>
      </c>
      <c r="C197" s="35" t="str">
        <f>All!D203</f>
        <v/>
      </c>
    </row>
    <row r="198" hidden="1">
      <c r="A198" s="35" t="str">
        <f>All!A204</f>
        <v/>
      </c>
      <c r="B198" s="35" t="str">
        <f>All!B204</f>
        <v/>
      </c>
      <c r="C198" s="35" t="str">
        <f>All!D204</f>
        <v/>
      </c>
    </row>
    <row r="199" hidden="1">
      <c r="A199" s="35" t="str">
        <f>All!A205</f>
        <v/>
      </c>
      <c r="B199" s="35" t="str">
        <f>All!B205</f>
        <v/>
      </c>
      <c r="C199" s="35" t="str">
        <f>All!D205</f>
        <v/>
      </c>
    </row>
  </sheetData>
  <autoFilter ref="$D$1:$D$199">
    <filterColumn colId="0">
      <filters>
        <filter val="B2B2C"/>
        <filter val="Target Customer"/>
      </filters>
    </filterColumn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13"/>
    <col customWidth="1" min="2" max="2" width="6.75"/>
    <col customWidth="1" min="3" max="3" width="64.75"/>
    <col customWidth="1" min="4" max="4" width="19.63"/>
  </cols>
  <sheetData>
    <row r="1">
      <c r="A1" s="36" t="s">
        <v>30</v>
      </c>
      <c r="B1" s="36"/>
      <c r="C1" s="36"/>
      <c r="D1" s="36"/>
      <c r="E1" s="1"/>
    </row>
    <row r="2">
      <c r="A2" s="44" t="s">
        <v>13</v>
      </c>
      <c r="B2" s="45" t="s">
        <v>14</v>
      </c>
      <c r="C2" s="44" t="s">
        <v>16</v>
      </c>
      <c r="D2" s="44" t="s">
        <v>23</v>
      </c>
      <c r="E2" s="45" t="str">
        <f>All!N8</f>
        <v>Target Customer</v>
      </c>
    </row>
    <row r="3">
      <c r="A3" s="28" t="str">
        <f>All!A45</f>
        <v>Incymo AI</v>
      </c>
      <c r="B3" s="35" t="str">
        <f>All!B45</f>
        <v>$850k</v>
      </c>
      <c r="C3" s="28" t="str">
        <f>All!D45</f>
        <v>Teardown of Incymo AI's $850k Seed deck</v>
      </c>
      <c r="D3" s="35" t="str">
        <f>All!O45</f>
        <v>AdTech</v>
      </c>
      <c r="E3" s="43" t="str">
        <f>All!N45</f>
        <v>B2B</v>
      </c>
    </row>
    <row r="4">
      <c r="A4" s="28" t="str">
        <f>All!A48</f>
        <v>MiO Marketplace</v>
      </c>
      <c r="B4" s="35" t="str">
        <f>All!B48</f>
        <v>$550k</v>
      </c>
      <c r="C4" s="28" t="str">
        <f>All!D48</f>
        <v>Teardown of MiO Marketplace's $550k Angel deck</v>
      </c>
      <c r="D4" s="35" t="str">
        <f>All!O48</f>
        <v>AdTech</v>
      </c>
      <c r="E4" s="43" t="str">
        <f>All!N48</f>
        <v>B2B</v>
      </c>
    </row>
    <row r="5">
      <c r="A5" s="28" t="str">
        <f>All!A87</f>
        <v>Qortex</v>
      </c>
      <c r="B5" s="35" t="str">
        <f>All!B87</f>
        <v>$10m</v>
      </c>
      <c r="C5" s="28" t="str">
        <f>All!D87</f>
        <v>Teardown of Qortex's $10m Seed deck</v>
      </c>
      <c r="D5" s="35" t="str">
        <f>All!O87</f>
        <v>AdTech</v>
      </c>
      <c r="E5" s="43" t="str">
        <f>All!N87</f>
        <v>B2B</v>
      </c>
    </row>
    <row r="6">
      <c r="A6" s="28" t="str">
        <f>All!A81</f>
        <v>Phospholutions</v>
      </c>
      <c r="B6" s="35" t="str">
        <f>All!B81</f>
        <v>$10.15m</v>
      </c>
      <c r="C6" s="28" t="str">
        <f>All!D81</f>
        <v>Teardown of Phospholutions's $10.15m Series A extension deck</v>
      </c>
      <c r="D6" s="35" t="str">
        <f>All!O81</f>
        <v>AgTech</v>
      </c>
      <c r="E6" s="43" t="str">
        <f>All!N81</f>
        <v>B2B</v>
      </c>
    </row>
    <row r="7">
      <c r="A7" s="28" t="str">
        <f>All!A97</f>
        <v>Plantee Innovations</v>
      </c>
      <c r="B7" s="35" t="str">
        <f>All!B97</f>
        <v>$1.4m</v>
      </c>
      <c r="C7" s="28" t="str">
        <f>All!D97</f>
        <v>Teardown of Plantee Innovations's $1.4m Seed deck</v>
      </c>
      <c r="D7" s="35" t="str">
        <f>All!O97</f>
        <v>AgTech</v>
      </c>
      <c r="E7" s="43" t="str">
        <f>All!N97</f>
        <v>B2C</v>
      </c>
    </row>
    <row r="8">
      <c r="A8" s="28" t="str">
        <f>All!A20</f>
        <v>Forethought</v>
      </c>
      <c r="B8" s="35" t="str">
        <f>All!B20</f>
        <v>$65m</v>
      </c>
      <c r="C8" s="28" t="str">
        <f>All!D20</f>
        <v>Teardown of Forethought's $65m Series C deck</v>
      </c>
      <c r="D8" s="35" t="str">
        <f>All!O20</f>
        <v>AI</v>
      </c>
      <c r="E8" s="43" t="str">
        <f>All!N20</f>
        <v>B2B</v>
      </c>
    </row>
    <row r="9">
      <c r="A9" s="28" t="str">
        <f>All!A37</f>
        <v>Hour One</v>
      </c>
      <c r="B9" s="35" t="str">
        <f>All!B37</f>
        <v>$20m</v>
      </c>
      <c r="C9" s="28" t="str">
        <f>All!D37</f>
        <v>Teardown of Hour One's $20m Series A deck</v>
      </c>
      <c r="D9" s="35" t="str">
        <f>All!O37</f>
        <v>AI</v>
      </c>
      <c r="E9" s="43" t="str">
        <f>All!N37</f>
        <v>B2B</v>
      </c>
    </row>
    <row r="10">
      <c r="A10" s="28" t="str">
        <f>All!A61</f>
        <v>CulturePulse</v>
      </c>
      <c r="B10" s="35" t="str">
        <f>All!B61</f>
        <v>$1m</v>
      </c>
      <c r="C10" s="28" t="str">
        <f>All!D61</f>
        <v>Teardown of CulturePulse's $1m Seed deck</v>
      </c>
      <c r="D10" s="35" t="str">
        <f>All!O61</f>
        <v>Analytics</v>
      </c>
      <c r="E10" s="43" t="str">
        <f>All!N61</f>
        <v>B2B</v>
      </c>
    </row>
    <row r="11">
      <c r="A11" s="28" t="str">
        <f>All!A54</f>
        <v>Honeycomb </v>
      </c>
      <c r="B11" s="35" t="str">
        <f>All!B54</f>
        <v>$50m</v>
      </c>
      <c r="C11" s="28" t="str">
        <f>All!D54</f>
        <v>Teardown of Honeycomb 's $50m Series D deck</v>
      </c>
      <c r="D11" s="35" t="str">
        <f>All!O54</f>
        <v>Analytics</v>
      </c>
      <c r="E11" s="43" t="str">
        <f>All!N54</f>
        <v>B2B</v>
      </c>
    </row>
    <row r="12">
      <c r="A12" s="28" t="str">
        <f>All!A92</f>
        <v>Equals</v>
      </c>
      <c r="B12" s="35" t="str">
        <f>All!B92</f>
        <v>$16m</v>
      </c>
      <c r="C12" s="28" t="str">
        <f>All!D92</f>
        <v>Teardown of Equals's $16m Series A deck</v>
      </c>
      <c r="D12" s="35" t="str">
        <f>All!O92</f>
        <v>Analytics</v>
      </c>
      <c r="E12" s="43" t="str">
        <f>All!N92</f>
        <v>B2B</v>
      </c>
    </row>
    <row r="13">
      <c r="A13" s="28" t="str">
        <f>All!A91</f>
        <v>Xyte</v>
      </c>
      <c r="B13" s="35" t="str">
        <f>All!B91</f>
        <v>$30m</v>
      </c>
      <c r="C13" s="28" t="str">
        <f>All!D91</f>
        <v>Teardown of Xyte's $30m Series A deck</v>
      </c>
      <c r="D13" s="35" t="str">
        <f>All!O91</f>
        <v>Appliances</v>
      </c>
      <c r="E13" s="43" t="str">
        <f>All!N91</f>
        <v>B2B</v>
      </c>
    </row>
    <row r="14">
      <c r="A14" s="28" t="str">
        <f>All!A99</f>
        <v>Xpanceo</v>
      </c>
      <c r="B14" s="35" t="str">
        <f>All!B99</f>
        <v>$40m</v>
      </c>
      <c r="C14" s="28" t="str">
        <f>All!D99</f>
        <v>Teardown of Xpanceo's $40m Seed deck</v>
      </c>
      <c r="D14" s="35" t="str">
        <f>All!O99</f>
        <v>Augmented Reality</v>
      </c>
      <c r="E14" s="43" t="str">
        <f>All!N99</f>
        <v>B2B2C</v>
      </c>
    </row>
    <row r="15">
      <c r="A15" s="28" t="str">
        <f>All!A23</f>
        <v>Glambook</v>
      </c>
      <c r="B15" s="35" t="str">
        <f>All!B23</f>
        <v>$2.5m</v>
      </c>
      <c r="C15" s="28" t="str">
        <f>All!D23</f>
        <v>Teardown of Glambook's $2.5m Seed deck</v>
      </c>
      <c r="D15" s="35" t="str">
        <f>All!O23</f>
        <v>Beauty</v>
      </c>
      <c r="E15" s="43" t="str">
        <f>All!N23</f>
        <v>B2B2C</v>
      </c>
    </row>
    <row r="16">
      <c r="A16" s="28" t="str">
        <f>All!A79</f>
        <v>Aether</v>
      </c>
      <c r="B16" s="35" t="str">
        <f>All!B79</f>
        <v>$49m</v>
      </c>
      <c r="C16" s="28" t="str">
        <f>All!D79</f>
        <v>Teardown of Aether's $49m Series A deck</v>
      </c>
      <c r="D16" s="35" t="str">
        <f>All!O79</f>
        <v>Biotech</v>
      </c>
      <c r="E16" s="43" t="str">
        <f>All!N79</f>
        <v>B2B</v>
      </c>
    </row>
    <row r="17">
      <c r="A17" s="28" t="str">
        <f>All!A80</f>
        <v>CancerVAX</v>
      </c>
      <c r="B17" s="35" t="str">
        <f>All!B80</f>
        <v>$10m</v>
      </c>
      <c r="C17" s="28" t="str">
        <f>All!D80</f>
        <v>Teardown of CancerVAX's $10m Crowdfunding deck</v>
      </c>
      <c r="D17" s="35" t="str">
        <f>All!O80</f>
        <v>Biotech</v>
      </c>
      <c r="E17" s="43" t="str">
        <f>All!N80</f>
        <v>B2C</v>
      </c>
    </row>
    <row r="18">
      <c r="A18" s="28" t="str">
        <f>All!A86</f>
        <v>Pepper Bio</v>
      </c>
      <c r="B18" s="35" t="str">
        <f>All!B86</f>
        <v>$6.5m</v>
      </c>
      <c r="C18" s="28" t="str">
        <f>All!D86</f>
        <v>Teardown of Pepper Bio's $6.5m Seed deck</v>
      </c>
      <c r="D18" s="35" t="str">
        <f>All!O86</f>
        <v>Biotech</v>
      </c>
      <c r="E18" s="43" t="str">
        <f>All!N86</f>
        <v>B2B</v>
      </c>
    </row>
    <row r="19">
      <c r="A19" s="28" t="str">
        <f>All!A90</f>
        <v>PhageLab</v>
      </c>
      <c r="B19" s="35" t="str">
        <f>All!B90</f>
        <v>$11m</v>
      </c>
      <c r="C19" s="28" t="str">
        <f>All!D90</f>
        <v>Teardown of PhageLab's $11m Series A deck</v>
      </c>
      <c r="D19" s="35" t="str">
        <f>All!O90</f>
        <v>Biotech</v>
      </c>
      <c r="E19" s="43" t="str">
        <f>All!N90</f>
        <v>B2B</v>
      </c>
    </row>
    <row r="20">
      <c r="A20" s="28" t="str">
        <f>All!A21</f>
        <v>Arkive</v>
      </c>
      <c r="B20" s="35" t="str">
        <f>All!B21</f>
        <v>$9.7m</v>
      </c>
      <c r="C20" s="28" t="str">
        <f>All!D21</f>
        <v>Teardown of Arkive's $9.7m Seed deck</v>
      </c>
      <c r="D20" s="35" t="str">
        <f>All!O21</f>
        <v>Blockchain</v>
      </c>
      <c r="E20" s="43" t="str">
        <f>All!N21</f>
        <v>B2C</v>
      </c>
    </row>
    <row r="21">
      <c r="A21" s="28" t="str">
        <f>All!A26</f>
        <v>SIMBA Chain</v>
      </c>
      <c r="B21" s="35" t="str">
        <f>All!B26</f>
        <v>$25m</v>
      </c>
      <c r="C21" s="28" t="str">
        <f>All!D26</f>
        <v>Teardown of SIMBA Chain's $25m Series A deck</v>
      </c>
      <c r="D21" s="35" t="str">
        <f>All!O26</f>
        <v>Blockchain</v>
      </c>
      <c r="E21" s="43" t="str">
        <f>All!N26</f>
        <v>B2B</v>
      </c>
    </row>
    <row r="22">
      <c r="A22" s="28" t="str">
        <f>All!A84</f>
        <v>Metafuels</v>
      </c>
      <c r="B22" s="35" t="str">
        <f>All!B84</f>
        <v>$8m</v>
      </c>
      <c r="C22" s="28" t="str">
        <f>All!D84</f>
        <v>Teardown of Metafuels's $8m Seed deck</v>
      </c>
      <c r="D22" s="35" t="str">
        <f>All!O84</f>
        <v>CleanTech</v>
      </c>
      <c r="E22" s="43" t="str">
        <f>All!N84</f>
        <v>B2B</v>
      </c>
    </row>
    <row r="23">
      <c r="A23" s="28" t="str">
        <f>All!A103</f>
        <v>Goodcarbon</v>
      </c>
      <c r="B23" s="35" t="str">
        <f>All!B103</f>
        <v>$5.5m</v>
      </c>
      <c r="C23" s="28" t="str">
        <f>All!D103</f>
        <v>Teardown of Goodcarbon's $5.5m Seed deck</v>
      </c>
      <c r="D23" s="35" t="str">
        <f>All!O103</f>
        <v>ClimateTech</v>
      </c>
      <c r="E23" s="43" t="str">
        <f>All!N103</f>
        <v>B2B</v>
      </c>
    </row>
    <row r="24">
      <c r="A24" s="28" t="str">
        <f>All!A33</f>
        <v>Palau Project </v>
      </c>
      <c r="B24" s="35" t="str">
        <f>All!B33</f>
        <v>$125k</v>
      </c>
      <c r="C24" s="28" t="str">
        <f>All!D33</f>
        <v>Teardown of Palau Project 's $125k Pre-seed deck</v>
      </c>
      <c r="D24" s="35" t="str">
        <f>All!O33</f>
        <v>ClimateTech</v>
      </c>
      <c r="E24" s="43" t="str">
        <f>All!N33</f>
        <v>B2C</v>
      </c>
    </row>
    <row r="25">
      <c r="A25" s="28" t="str">
        <f>All!A102</f>
        <v>Cloudsmith</v>
      </c>
      <c r="B25" s="35" t="str">
        <f>All!B102</f>
        <v>$15m</v>
      </c>
      <c r="C25" s="28" t="str">
        <f>All!D102</f>
        <v>Teardown of Cloudsmith's $15m Series A deck</v>
      </c>
      <c r="D25" s="35" t="str">
        <f>All!O102</f>
        <v>Cloud</v>
      </c>
      <c r="E25" s="43" t="str">
        <f>All!N102</f>
        <v>B2B</v>
      </c>
    </row>
    <row r="26">
      <c r="A26" s="28" t="str">
        <f>All!A16</f>
        <v>Ergeon</v>
      </c>
      <c r="B26" s="35" t="str">
        <f>All!B16</f>
        <v>$40m</v>
      </c>
      <c r="C26" s="28" t="str">
        <f>All!D16</f>
        <v>Teardown of Ergeon's $40m Series B deck</v>
      </c>
      <c r="D26" s="35" t="str">
        <f>All!O16</f>
        <v>Construction</v>
      </c>
      <c r="E26" s="43" t="str">
        <f>All!N16</f>
        <v>B2C</v>
      </c>
    </row>
    <row r="27">
      <c r="A27" s="28" t="str">
        <f>All!A51</f>
        <v>Northspyre</v>
      </c>
      <c r="B27" s="35" t="str">
        <f>All!B51</f>
        <v>$25m</v>
      </c>
      <c r="C27" s="28" t="str">
        <f>All!D51</f>
        <v>Teardown of Northspyre's $25m Series B deck</v>
      </c>
      <c r="D27" s="35" t="str">
        <f>All!O51</f>
        <v>Construction</v>
      </c>
      <c r="E27" s="43" t="str">
        <f>All!N51</f>
        <v>B2B</v>
      </c>
    </row>
    <row r="28">
      <c r="A28" s="28" t="str">
        <f>All!A70</f>
        <v>DeckMatch</v>
      </c>
      <c r="B28" s="35" t="str">
        <f>All!B70</f>
        <v>$1m</v>
      </c>
      <c r="C28" s="28" t="str">
        <f>All!D70</f>
        <v>Teardown of DeckMatch's $1m Seed deck</v>
      </c>
      <c r="D28" s="35" t="str">
        <f>All!O70</f>
        <v>CRM</v>
      </c>
      <c r="E28" s="43" t="str">
        <f>All!N70</f>
        <v>B2B</v>
      </c>
    </row>
    <row r="29">
      <c r="A29" s="28" t="str">
        <f>All!A27</f>
        <v>Front</v>
      </c>
      <c r="B29" s="35" t="str">
        <f>All!B27</f>
        <v>$65m</v>
      </c>
      <c r="C29" s="28" t="str">
        <f>All!D27</f>
        <v>Teardown of Front's $65m Series D deck</v>
      </c>
      <c r="D29" s="35" t="str">
        <f>All!O27</f>
        <v>Customer Service</v>
      </c>
      <c r="E29" s="43" t="str">
        <f>All!N27</f>
        <v>B2B</v>
      </c>
    </row>
    <row r="30">
      <c r="A30" s="28" t="str">
        <f>All!A64</f>
        <v>Nokod Security</v>
      </c>
      <c r="B30" s="35" t="str">
        <f>All!B64</f>
        <v>$8m</v>
      </c>
      <c r="C30" s="28" t="str">
        <f>All!D64</f>
        <v>Teardown of Nokod Security's $8m Seed deck</v>
      </c>
      <c r="D30" s="35" t="str">
        <f>All!O64</f>
        <v>Cybersecurity</v>
      </c>
      <c r="E30" s="43" t="str">
        <f>All!N64</f>
        <v>B2B</v>
      </c>
    </row>
    <row r="31">
      <c r="A31" s="28" t="str">
        <f>All!A98</f>
        <v>Queerie</v>
      </c>
      <c r="B31" s="35" t="str">
        <f>All!B98</f>
        <v>$300k</v>
      </c>
      <c r="C31" s="28" t="str">
        <f>All!D98</f>
        <v>Teardown of Queerie's $300k Pre-seed deck</v>
      </c>
      <c r="D31" s="35" t="str">
        <f>All!O98</f>
        <v>Dating</v>
      </c>
      <c r="E31" s="43" t="str">
        <f>All!N98</f>
        <v>B2C</v>
      </c>
    </row>
    <row r="32">
      <c r="A32" s="28" t="str">
        <f>All!A105</f>
        <v>RAW Dating App</v>
      </c>
      <c r="B32" s="35" t="str">
        <f>All!B105</f>
        <v>$3m</v>
      </c>
      <c r="C32" s="28" t="str">
        <f>All!D105</f>
        <v>Teardown of RAW Dating App's $3m Angel deck</v>
      </c>
      <c r="D32" s="35" t="str">
        <f>All!O105</f>
        <v>Dating</v>
      </c>
      <c r="E32" s="43" t="str">
        <f>All!N105</f>
        <v>B2C</v>
      </c>
    </row>
    <row r="33">
      <c r="A33" s="28" t="str">
        <f>All!A14</f>
        <v>Encore</v>
      </c>
      <c r="B33" s="35" t="str">
        <f>All!B14</f>
        <v>$3m</v>
      </c>
      <c r="C33" s="28" t="str">
        <f>All!D14</f>
        <v>Teardown of Encore's $3m Seed deck</v>
      </c>
      <c r="D33" s="35" t="str">
        <f>All!O14</f>
        <v>Dev Tools</v>
      </c>
      <c r="E33" s="43" t="str">
        <f>All!N14</f>
        <v>B2B</v>
      </c>
    </row>
    <row r="34">
      <c r="A34" s="28" t="str">
        <f>All!A13</f>
        <v>Lumigo</v>
      </c>
      <c r="B34" s="35" t="str">
        <f>All!B13</f>
        <v>$29m</v>
      </c>
      <c r="C34" s="28" t="str">
        <f>All!D13</f>
        <v>Teardown of Lumigo's $29m Series A deck</v>
      </c>
      <c r="D34" s="35" t="str">
        <f>All!O13</f>
        <v>DevOps</v>
      </c>
      <c r="E34" s="43" t="str">
        <f>All!N13</f>
        <v>B2B</v>
      </c>
    </row>
    <row r="35">
      <c r="A35" s="28" t="str">
        <f>All!A67</f>
        <v>Unito</v>
      </c>
      <c r="B35" s="35" t="str">
        <f>All!B67</f>
        <v>$20m</v>
      </c>
      <c r="C35" s="28" t="str">
        <f>All!D67</f>
        <v>Teardown of Unito's $20m Series B deck</v>
      </c>
      <c r="D35" s="35" t="str">
        <f>All!O67</f>
        <v>DevOps</v>
      </c>
      <c r="E35" s="43" t="str">
        <f>All!N67</f>
        <v>B2B</v>
      </c>
    </row>
    <row r="36">
      <c r="A36" s="28" t="str">
        <f>All!A65</f>
        <v>GoodBuy Gear</v>
      </c>
      <c r="B36" s="35" t="str">
        <f>All!B65</f>
        <v>$5m</v>
      </c>
      <c r="C36" s="28" t="str">
        <f>All!D65</f>
        <v>Teardown of GoodBuy Gear's $5m Series A Extension deck</v>
      </c>
      <c r="D36" s="35" t="str">
        <f>All!O65</f>
        <v>Ecommerce</v>
      </c>
      <c r="E36" s="43" t="str">
        <f>All!N65</f>
        <v>B2C</v>
      </c>
    </row>
    <row r="37">
      <c r="A37" s="28" t="str">
        <f>All!A71</f>
        <v>BusRight</v>
      </c>
      <c r="B37" s="35" t="str">
        <f>All!B71</f>
        <v>$7m</v>
      </c>
      <c r="C37" s="28" t="str">
        <f>All!D71</f>
        <v>Teardown of BusRight's $7m Series A deck</v>
      </c>
      <c r="D37" s="35" t="str">
        <f>All!O71</f>
        <v>EdTech</v>
      </c>
      <c r="E37" s="43" t="str">
        <f>All!N71</f>
        <v>B2B</v>
      </c>
    </row>
    <row r="38">
      <c r="A38" s="28" t="str">
        <f>All!A55</f>
        <v>Careerist</v>
      </c>
      <c r="B38" s="35" t="str">
        <f>All!B55</f>
        <v>$8m</v>
      </c>
      <c r="C38" s="28" t="str">
        <f>All!D55</f>
        <v>Teardown of Careerist's $8m Series A deck</v>
      </c>
      <c r="D38" s="35" t="str">
        <f>All!O55</f>
        <v>EdTech</v>
      </c>
      <c r="E38" s="43" t="str">
        <f>All!N55</f>
        <v>B2C</v>
      </c>
    </row>
    <row r="39">
      <c r="A39" s="28" t="str">
        <f>All!A43</f>
        <v>Laoshi</v>
      </c>
      <c r="B39" s="35" t="str">
        <f>All!B43</f>
        <v>$570k</v>
      </c>
      <c r="C39" s="28" t="str">
        <f>All!D43</f>
        <v>Teardown of Laoshi's $570k Angel  deck</v>
      </c>
      <c r="D39" s="35" t="str">
        <f>All!O43</f>
        <v>EdTech</v>
      </c>
      <c r="E39" s="43" t="str">
        <f>All!N43</f>
        <v>B2C</v>
      </c>
    </row>
    <row r="40">
      <c r="A40" s="28" t="str">
        <f>All!A74</f>
        <v>Learn XYZ</v>
      </c>
      <c r="B40" s="35" t="str">
        <f>All!B74</f>
        <v>$3m</v>
      </c>
      <c r="C40" s="28" t="str">
        <f>All!D74</f>
        <v>Teardown of Learn XYZ's $3m Seed deck</v>
      </c>
      <c r="D40" s="35" t="str">
        <f>All!O74</f>
        <v>EdTech</v>
      </c>
      <c r="E40" s="43" t="str">
        <f>All!N74</f>
        <v>B2B</v>
      </c>
    </row>
    <row r="41">
      <c r="A41" s="28" t="str">
        <f>All!A49</f>
        <v>StudentFinance</v>
      </c>
      <c r="B41" s="35" t="str">
        <f>All!B49</f>
        <v>$41m</v>
      </c>
      <c r="C41" s="28" t="str">
        <f>All!D49</f>
        <v>Teardown of StudentFinance's $41m Series A deck</v>
      </c>
      <c r="D41" s="35" t="str">
        <f>All!O49</f>
        <v>EdTech</v>
      </c>
      <c r="E41" s="43" t="str">
        <f>All!N49</f>
        <v>B2B2C</v>
      </c>
    </row>
    <row r="42">
      <c r="A42" s="28" t="str">
        <f>All!A73</f>
        <v>Tomorrow University of Applied Sciences</v>
      </c>
      <c r="B42" s="35" t="str">
        <f>All!B73</f>
        <v>$10m</v>
      </c>
      <c r="C42" s="28" t="str">
        <f>All!D73</f>
        <v>Teardown of Tomorrow University of Applied Sciences's $10m Series A deck</v>
      </c>
      <c r="D42" s="35" t="str">
        <f>All!O73</f>
        <v>EdTech</v>
      </c>
      <c r="E42" s="43" t="str">
        <f>All!N73</f>
        <v>B2C</v>
      </c>
    </row>
    <row r="43">
      <c r="A43" s="28" t="str">
        <f>All!A18</f>
        <v>Wilco</v>
      </c>
      <c r="B43" s="35" t="str">
        <f>All!B18</f>
        <v>$7m</v>
      </c>
      <c r="C43" s="28" t="str">
        <f>All!D18</f>
        <v>Teardown of Wilco's $7m Seed deck</v>
      </c>
      <c r="D43" s="35" t="str">
        <f>All!O18</f>
        <v>EdTech</v>
      </c>
      <c r="E43" s="43" t="str">
        <f>All!N18</f>
        <v>B2B</v>
      </c>
    </row>
    <row r="44">
      <c r="A44" s="28" t="str">
        <f>All!A104</f>
        <v>Terra One</v>
      </c>
      <c r="B44" s="35" t="str">
        <f>All!B104</f>
        <v>$7.5m</v>
      </c>
      <c r="C44" s="28" t="str">
        <f>All!D104</f>
        <v>Teardown of Terra One's $7.5m Seed deck</v>
      </c>
      <c r="D44" s="35" t="str">
        <f>All!O104</f>
        <v>Energy</v>
      </c>
      <c r="E44" s="43" t="str">
        <f>All!N104</f>
        <v>B2B</v>
      </c>
    </row>
    <row r="45">
      <c r="A45" s="28" t="str">
        <f>All!A30</f>
        <v>Rokoko</v>
      </c>
      <c r="B45" s="35" t="str">
        <f>All!B30</f>
        <v>$3m</v>
      </c>
      <c r="C45" s="28" t="str">
        <f>All!D30</f>
        <v>Teardown of Rokoko's $3m Strategic Extension deck</v>
      </c>
      <c r="D45" s="35" t="str">
        <f>All!O30</f>
        <v>Entertainment</v>
      </c>
      <c r="E45" s="43" t="str">
        <f>All!N30</f>
        <v>B2B</v>
      </c>
    </row>
    <row r="46">
      <c r="A46" s="28" t="str">
        <f>All!A12</f>
        <v>BoxedUp</v>
      </c>
      <c r="B46" s="35" t="str">
        <f>All!B12</f>
        <v>$2.3m</v>
      </c>
      <c r="C46" s="28" t="str">
        <f>All!D12</f>
        <v>Teardown of BoxedUp's $2.3m Seed deck</v>
      </c>
      <c r="D46" s="35" t="str">
        <f>All!O12</f>
        <v>Equipment Rental</v>
      </c>
      <c r="E46" s="43" t="str">
        <f>All!N12</f>
        <v>B2B</v>
      </c>
    </row>
    <row r="47">
      <c r="A47" s="28" t="str">
        <f>All!A58</f>
        <v>Ageras</v>
      </c>
      <c r="B47" s="35" t="str">
        <f>All!B58</f>
        <v>$36m</v>
      </c>
      <c r="C47" s="28" t="str">
        <f>All!D58</f>
        <v>Teardown of Ageras's $36m Private Equity deck</v>
      </c>
      <c r="D47" s="35" t="str">
        <f>All!O58</f>
        <v>FinTech</v>
      </c>
      <c r="E47" s="43" t="str">
        <f>All!N58</f>
        <v>B2B</v>
      </c>
    </row>
    <row r="48">
      <c r="A48" s="28" t="str">
        <f>All!A40</f>
        <v>Card Blanch</v>
      </c>
      <c r="B48" s="35" t="str">
        <f>All!B40</f>
        <v>$460k</v>
      </c>
      <c r="C48" s="28" t="str">
        <f>All!D40</f>
        <v>Teardown of Card Blanch's $460k Angel deck</v>
      </c>
      <c r="D48" s="35" t="str">
        <f>All!O40</f>
        <v>FinTech</v>
      </c>
      <c r="E48" s="43" t="str">
        <f>All!N40</f>
        <v>B2C</v>
      </c>
    </row>
    <row r="49">
      <c r="A49" s="28" t="str">
        <f>All!A53</f>
        <v>Diamond Standard</v>
      </c>
      <c r="B49" s="35" t="str">
        <f>All!B53</f>
        <v>$30m</v>
      </c>
      <c r="C49" s="28" t="str">
        <f>All!D53</f>
        <v>Teardown of Diamond Standard's $30m Series A deck</v>
      </c>
      <c r="D49" s="35" t="str">
        <f>All!O53</f>
        <v>FinTech</v>
      </c>
      <c r="E49" s="43" t="str">
        <f>All!N53</f>
        <v>B2C</v>
      </c>
    </row>
    <row r="50">
      <c r="A50" s="28" t="str">
        <f>All!A19</f>
        <v>Enduring Planet</v>
      </c>
      <c r="B50" s="35" t="str">
        <f>All!B19</f>
        <v>$2m</v>
      </c>
      <c r="C50" s="28" t="str">
        <f>All!D19</f>
        <v>Teardown of Enduring Planet's $2m Seed deck</v>
      </c>
      <c r="D50" s="35" t="str">
        <f>All!O19</f>
        <v>FinTech</v>
      </c>
      <c r="E50" s="43" t="str">
        <f>All!N19</f>
        <v>B2B2C</v>
      </c>
    </row>
    <row r="51">
      <c r="A51" s="28" t="str">
        <f>All!A28</f>
        <v>Helu</v>
      </c>
      <c r="B51" s="35" t="str">
        <f>All!B28</f>
        <v>$9.8m</v>
      </c>
      <c r="C51" s="28" t="str">
        <f>All!D28</f>
        <v>Teardown of Helu's $9.8m Series A deck</v>
      </c>
      <c r="D51" s="35" t="str">
        <f>All!O28</f>
        <v>FinTech</v>
      </c>
      <c r="E51" s="43" t="str">
        <f>All!N28</f>
        <v>B2B</v>
      </c>
    </row>
    <row r="52">
      <c r="A52" s="28" t="str">
        <f>All!A77</f>
        <v>Lupiya</v>
      </c>
      <c r="B52" s="35" t="str">
        <f>All!B77</f>
        <v>$8.3m</v>
      </c>
      <c r="C52" s="28" t="str">
        <f>All!D77</f>
        <v>Teardown of Lupiya's $8.3m Series A deck</v>
      </c>
      <c r="D52" s="35" t="str">
        <f>All!O77</f>
        <v>FinTech</v>
      </c>
      <c r="E52" s="43" t="str">
        <f>All!N77</f>
        <v>B2C</v>
      </c>
    </row>
    <row r="53">
      <c r="A53" s="28" t="str">
        <f>All!A29</f>
        <v>Party Round</v>
      </c>
      <c r="B53" s="35" t="str">
        <f>All!B29</f>
        <v>$7m</v>
      </c>
      <c r="C53" s="28" t="str">
        <f>All!D29</f>
        <v>Teardown of Party Round's $7m Angel deck</v>
      </c>
      <c r="D53" s="35" t="str">
        <f>All!O29</f>
        <v>FinTech</v>
      </c>
      <c r="E53" s="43" t="str">
        <f>All!N29</f>
        <v>B2B</v>
      </c>
    </row>
    <row r="54">
      <c r="A54" s="28" t="str">
        <f>All!A63</f>
        <v>Super </v>
      </c>
      <c r="B54" s="35" t="str">
        <f>All!B63</f>
        <v>$60m</v>
      </c>
      <c r="C54" s="28" t="str">
        <f>All!D63</f>
        <v>Teardown of Super 's $60m Series C deck</v>
      </c>
      <c r="D54" s="35" t="str">
        <f>All!O63</f>
        <v>FinTech</v>
      </c>
      <c r="E54" s="43" t="str">
        <f>All!N63</f>
        <v>B2C</v>
      </c>
    </row>
    <row r="55">
      <c r="A55" s="28" t="str">
        <f>All!A85</f>
        <v>HomeCooks</v>
      </c>
      <c r="B55" s="35" t="str">
        <f>All!B85</f>
        <v>$3.2m</v>
      </c>
      <c r="C55" s="28" t="str">
        <f>All!D85</f>
        <v>Teardown of HomeCooks's $3.2m Seed deck</v>
      </c>
      <c r="D55" s="35" t="str">
        <f>All!O85</f>
        <v>Foodtech</v>
      </c>
      <c r="E55" s="43" t="str">
        <f>All!N85</f>
        <v>B2C</v>
      </c>
    </row>
    <row r="56">
      <c r="A56" s="28" t="str">
        <f>All!A15</f>
        <v>Lunchbox</v>
      </c>
      <c r="B56" s="35" t="str">
        <f>All!B15</f>
        <v>$50m</v>
      </c>
      <c r="C56" s="28" t="str">
        <f>All!D15</f>
        <v>Teardown of Lunchbox's $50m Series B deck</v>
      </c>
      <c r="D56" s="35" t="str">
        <f>All!O15</f>
        <v>Foodtech</v>
      </c>
      <c r="E56" s="43" t="str">
        <f>All!N15</f>
        <v>B2B</v>
      </c>
    </row>
    <row r="57">
      <c r="A57" s="28" t="str">
        <f>All!A47</f>
        <v>Gable</v>
      </c>
      <c r="B57" s="35" t="str">
        <f>All!B47</f>
        <v>$16m</v>
      </c>
      <c r="C57" s="28" t="str">
        <f>All!D47</f>
        <v>Teardown of Gable's $16m Series A deck</v>
      </c>
      <c r="D57" s="35" t="str">
        <f>All!O47</f>
        <v>Future of Work</v>
      </c>
      <c r="E57" s="43" t="str">
        <f>All!N47</f>
        <v>B2B</v>
      </c>
    </row>
    <row r="58">
      <c r="A58" s="28" t="str">
        <f>All!A95</f>
        <v>SuperScale</v>
      </c>
      <c r="B58" s="35" t="str">
        <f>All!B95</f>
        <v>$4.4m</v>
      </c>
      <c r="C58" s="28" t="str">
        <f>All!D95</f>
        <v>Teardown of SuperScale's $4.4m Series A deck</v>
      </c>
      <c r="D58" s="35" t="str">
        <f>All!O95</f>
        <v>Gaming</v>
      </c>
      <c r="E58" s="43" t="str">
        <f>All!N95</f>
        <v>B2B</v>
      </c>
    </row>
    <row r="59">
      <c r="A59" s="28" t="str">
        <f>All!A88</f>
        <v>Ryplzz</v>
      </c>
      <c r="B59" s="35" t="str">
        <f>All!B88</f>
        <v>$3m</v>
      </c>
      <c r="C59" s="28" t="str">
        <f>All!D88</f>
        <v>Teardown of Ryplzz's $3m Seed deck</v>
      </c>
      <c r="D59" s="35" t="str">
        <f>All!O88</f>
        <v>Geolocation</v>
      </c>
      <c r="E59" s="43" t="str">
        <f>All!N88</f>
        <v>B2B</v>
      </c>
    </row>
    <row r="60">
      <c r="A60" s="28" t="str">
        <f>All!A31</f>
        <v>Vori</v>
      </c>
      <c r="B60" s="35" t="str">
        <f>All!B31</f>
        <v>$10m</v>
      </c>
      <c r="C60" s="28" t="str">
        <f>All!D31</f>
        <v>Teardown of Vori's $10m Series A deck</v>
      </c>
      <c r="D60" s="35" t="str">
        <f>All!O31</f>
        <v>Grocery</v>
      </c>
      <c r="E60" s="43" t="str">
        <f>All!N31</f>
        <v>B2B</v>
      </c>
    </row>
    <row r="61">
      <c r="A61" s="28" t="str">
        <f>All!A22</f>
        <v>Alto Pharmacy</v>
      </c>
      <c r="B61" s="35" t="str">
        <f>All!B22</f>
        <v>$200m</v>
      </c>
      <c r="C61" s="28" t="str">
        <f>All!D22</f>
        <v>Teardown of Alto Pharmacy's $200m Series E deck</v>
      </c>
      <c r="D61" s="35" t="str">
        <f>All!O22</f>
        <v>Health</v>
      </c>
      <c r="E61" s="43" t="str">
        <f>All!N22</f>
        <v>B2B2C</v>
      </c>
    </row>
    <row r="62">
      <c r="A62" s="28" t="str">
        <f>All!A107</f>
        <v>Feel Therapeutics</v>
      </c>
      <c r="B62" s="35" t="str">
        <f>All!B107</f>
        <v>$3.5m</v>
      </c>
      <c r="C62" s="28" t="str">
        <f>All!D107</f>
        <v>Teardown of Feel Therapeutics's $3.5m Seed deck</v>
      </c>
      <c r="D62" s="35" t="str">
        <f>All!O107</f>
        <v>Health</v>
      </c>
      <c r="E62" s="43" t="str">
        <f>All!N107</f>
        <v>B2B2C</v>
      </c>
    </row>
    <row r="63">
      <c r="A63" s="28" t="str">
        <f>All!A39</f>
        <v>MedCrypt</v>
      </c>
      <c r="B63" s="35" t="str">
        <f>All!B39</f>
        <v>$25m</v>
      </c>
      <c r="C63" s="28" t="str">
        <f>All!D39</f>
        <v>Teardown of MedCrypt's $25m Series B deck</v>
      </c>
      <c r="D63" s="35" t="str">
        <f>All!O39</f>
        <v>Health</v>
      </c>
      <c r="E63" s="43" t="str">
        <f>All!N39</f>
        <v>B2B</v>
      </c>
    </row>
    <row r="64">
      <c r="A64" s="28" t="str">
        <f>All!A38</f>
        <v>Rootine</v>
      </c>
      <c r="B64" s="35" t="str">
        <f>All!B38</f>
        <v>$10m</v>
      </c>
      <c r="C64" s="28" t="str">
        <f>All!D38</f>
        <v>Teardown of Rootine's $10m Series A deck</v>
      </c>
      <c r="D64" s="35" t="str">
        <f>All!O38</f>
        <v>Health</v>
      </c>
      <c r="E64" s="43" t="str">
        <f>All!N38</f>
        <v>B2C</v>
      </c>
    </row>
    <row r="65">
      <c r="A65" s="28" t="str">
        <f>All!A9</f>
        <v>Minut</v>
      </c>
      <c r="B65" s="35" t="str">
        <f>All!B9</f>
        <v>$15m</v>
      </c>
      <c r="C65" s="28" t="str">
        <f>All!D9</f>
        <v>Teardown of Minut's $15m Series B deck</v>
      </c>
      <c r="D65" s="35" t="str">
        <f>All!O9</f>
        <v>Hospitality</v>
      </c>
      <c r="E65" s="43" t="str">
        <f>All!N9</f>
        <v>B2C</v>
      </c>
    </row>
    <row r="66">
      <c r="A66" s="28" t="str">
        <f>All!A100</f>
        <v>Geodesic.Life</v>
      </c>
      <c r="B66" s="35" t="str">
        <f>All!B100</f>
        <v>$500k</v>
      </c>
      <c r="C66" s="28" t="str">
        <f>All!D100</f>
        <v>Teardown of Geodesic.Life's $500k Pre-seed deck</v>
      </c>
      <c r="D66" s="35" t="str">
        <f>All!O100</f>
        <v>Housing</v>
      </c>
      <c r="E66" s="43" t="str">
        <f>All!N100</f>
        <v>B2C</v>
      </c>
    </row>
    <row r="67">
      <c r="A67" s="28" t="str">
        <f>All!A75</f>
        <v>Transcend</v>
      </c>
      <c r="B67" s="35" t="str">
        <f>All!B75</f>
        <v>$20m</v>
      </c>
      <c r="C67" s="28" t="str">
        <f>All!D75</f>
        <v>Teardown of Transcend's $20m Series B deck</v>
      </c>
      <c r="D67" s="35" t="str">
        <f>All!O75</f>
        <v>Infrastructure</v>
      </c>
      <c r="E67" s="43" t="str">
        <f>All!N75</f>
        <v>B2B</v>
      </c>
    </row>
    <row r="68">
      <c r="A68" s="28" t="str">
        <f>All!A59</f>
        <v>Faye</v>
      </c>
      <c r="B68" s="35" t="str">
        <f>All!B59</f>
        <v>$10m</v>
      </c>
      <c r="C68" s="28" t="str">
        <f>All!D59</f>
        <v>Teardown of Faye's $10m Series A deck</v>
      </c>
      <c r="D68" s="35" t="str">
        <f>All!O59</f>
        <v>Insurtech</v>
      </c>
      <c r="E68" s="43" t="str">
        <f>All!N59</f>
        <v>B2C</v>
      </c>
    </row>
    <row r="69">
      <c r="A69" s="28" t="str">
        <f>All!A35</f>
        <v>Sateliot</v>
      </c>
      <c r="B69" s="35" t="str">
        <f>All!B35</f>
        <v>$11.4m</v>
      </c>
      <c r="C69" s="28" t="str">
        <f>All!D35</f>
        <v>Teardown of Sateliot's $11.4m Series A deck</v>
      </c>
      <c r="D69" s="35" t="str">
        <f>All!O35</f>
        <v>IoT</v>
      </c>
      <c r="E69" s="43" t="str">
        <f>All!N35</f>
        <v>B2B</v>
      </c>
    </row>
    <row r="70">
      <c r="A70" s="28" t="str">
        <f>All!A89</f>
        <v>Doola</v>
      </c>
      <c r="B70" s="35" t="str">
        <f>All!B89</f>
        <v>$1m</v>
      </c>
      <c r="C70" s="28" t="str">
        <f>All!D89</f>
        <v>Teardown of Doola's $1m Series A extension deck</v>
      </c>
      <c r="D70" s="35" t="str">
        <f>All!O89</f>
        <v>LegalTech</v>
      </c>
      <c r="E70" s="43" t="str">
        <f>All!N89</f>
        <v>B2B</v>
      </c>
    </row>
    <row r="71">
      <c r="A71" s="28" t="str">
        <f>All!A36</f>
        <v>Juro</v>
      </c>
      <c r="B71" s="35" t="str">
        <f>All!B36</f>
        <v>$23m</v>
      </c>
      <c r="C71" s="28" t="str">
        <f>All!D36</f>
        <v>Teardown of Juro's $23m Series B deck</v>
      </c>
      <c r="D71" s="35" t="str">
        <f>All!O36</f>
        <v>LegalTech</v>
      </c>
      <c r="E71" s="43" t="str">
        <f>All!N36</f>
        <v>B2B</v>
      </c>
    </row>
    <row r="72">
      <c r="A72" s="28" t="str">
        <f>All!A24</f>
        <v>Five Flute</v>
      </c>
      <c r="B72" s="35" t="str">
        <f>All!B24</f>
        <v>$1.2m</v>
      </c>
      <c r="C72" s="28" t="str">
        <f>All!D24</f>
        <v>Teardown of Five Flute's $1.2m Pre-seed deck</v>
      </c>
      <c r="D72" s="35" t="str">
        <f>All!O24</f>
        <v>Manufacturing</v>
      </c>
      <c r="E72" s="43" t="str">
        <f>All!N24</f>
        <v>B2B</v>
      </c>
    </row>
    <row r="73">
      <c r="A73" s="28" t="str">
        <f>All!A32</f>
        <v>Supliful</v>
      </c>
      <c r="B73" s="35" t="str">
        <f>All!B32</f>
        <v>$1m</v>
      </c>
      <c r="C73" s="28" t="str">
        <f>All!D32</f>
        <v>Teardown of Supliful's $1m Seed deck</v>
      </c>
      <c r="D73" s="35" t="str">
        <f>All!O32</f>
        <v>Marketing</v>
      </c>
      <c r="E73" s="43" t="str">
        <f>All!N32</f>
        <v>B2B2C</v>
      </c>
    </row>
    <row r="74">
      <c r="A74" s="35" t="str">
        <f>All!A56</f>
        <v>The Perfect Pitch Deck</v>
      </c>
      <c r="B74" s="35" t="str">
        <f>All!B56</f>
        <v>$1m</v>
      </c>
      <c r="C74" s="28" t="str">
        <f>All!D56</f>
        <v>Teardown of The Perfect Pitch Deck's $1m Seed deck</v>
      </c>
      <c r="D74" s="35" t="str">
        <f>All!O56</f>
        <v>Marketing</v>
      </c>
      <c r="E74" s="43" t="str">
        <f>All!N56</f>
        <v>B2B2C</v>
      </c>
    </row>
    <row r="75">
      <c r="A75" s="28" t="str">
        <f>All!A25</f>
        <v>Mi Terro</v>
      </c>
      <c r="B75" s="35" t="str">
        <f>All!B25</f>
        <v>$1.5m</v>
      </c>
      <c r="C75" s="28" t="str">
        <f>All!D25</f>
        <v>Teardown of Mi Terro's $1.5m Seed deck</v>
      </c>
      <c r="D75" s="35" t="str">
        <f>All!O25</f>
        <v>Material Science</v>
      </c>
      <c r="E75" s="43" t="str">
        <f>All!N25</f>
        <v>B2B</v>
      </c>
    </row>
    <row r="76">
      <c r="A76" s="28" t="str">
        <f>All!A94</f>
        <v>Astek Diagnostics</v>
      </c>
      <c r="B76" s="35" t="str">
        <f>All!B94</f>
        <v>$2m</v>
      </c>
      <c r="C76" s="28" t="str">
        <f>All!D94</f>
        <v>Teardown of Astek Diagnostics's $2m Seed deck</v>
      </c>
      <c r="D76" s="35" t="str">
        <f>All!O94</f>
        <v>MEdTech</v>
      </c>
      <c r="E76" s="43" t="str">
        <f>All!N94</f>
        <v>B2B</v>
      </c>
    </row>
    <row r="77">
      <c r="A77" s="28" t="str">
        <f>All!A62</f>
        <v>Netmaker</v>
      </c>
      <c r="B77" s="35" t="str">
        <f>All!B62</f>
        <v>$2.3m</v>
      </c>
      <c r="C77" s="28" t="str">
        <f>All!D62</f>
        <v>Teardown of Netmaker's $2.3m Seed deck</v>
      </c>
      <c r="D77" s="35" t="str">
        <f>All!O62</f>
        <v>Networking</v>
      </c>
      <c r="E77" s="43" t="str">
        <f>All!N62</f>
        <v>B2B</v>
      </c>
    </row>
    <row r="78">
      <c r="A78" s="28" t="str">
        <f>All!A11</f>
        <v>Dutch</v>
      </c>
      <c r="B78" s="35" t="str">
        <f>All!B11</f>
        <v>$20m</v>
      </c>
      <c r="C78" s="28" t="str">
        <f>All!D11</f>
        <v>Teardown of Dutch's $20m Series A deck</v>
      </c>
      <c r="D78" s="35" t="str">
        <f>All!O11</f>
        <v>Pets</v>
      </c>
      <c r="E78" s="43" t="str">
        <f>All!N11</f>
        <v>B2C</v>
      </c>
    </row>
    <row r="79">
      <c r="A79" s="28" t="str">
        <f>All!A52</f>
        <v>Smalls</v>
      </c>
      <c r="B79" s="35" t="str">
        <f>All!B52</f>
        <v>$19m</v>
      </c>
      <c r="C79" s="28" t="str">
        <f>All!D52</f>
        <v>Teardown of Smalls's $19m Series B deck</v>
      </c>
      <c r="D79" s="35" t="str">
        <f>All!O52</f>
        <v>Pets</v>
      </c>
      <c r="E79" s="43" t="str">
        <f>All!N52</f>
        <v>B2C</v>
      </c>
    </row>
    <row r="80">
      <c r="A80" s="28" t="str">
        <f>All!A34</f>
        <v>Syneroid Technologies</v>
      </c>
      <c r="B80" s="35" t="str">
        <f>All!B34</f>
        <v>$500k</v>
      </c>
      <c r="C80" s="28" t="str">
        <f>All!D34</f>
        <v>Teardown of Syneroid Technologies's $500k Seed deck</v>
      </c>
      <c r="D80" s="35" t="str">
        <f>All!O34</f>
        <v>Pets</v>
      </c>
      <c r="E80" s="43" t="str">
        <f>All!N34</f>
        <v>B2C</v>
      </c>
    </row>
    <row r="81">
      <c r="A81" s="28" t="str">
        <f>All!A50</f>
        <v>Prelaunch</v>
      </c>
      <c r="B81" s="35" t="str">
        <f>All!B50</f>
        <v>$1.5m</v>
      </c>
      <c r="C81" s="28" t="str">
        <f>All!D50</f>
        <v>Teardown of Prelaunch's $1.5m Seed deck</v>
      </c>
      <c r="D81" s="35" t="str">
        <f>All!O50</f>
        <v>Product Development</v>
      </c>
      <c r="E81" s="43" t="str">
        <f>All!N50</f>
        <v>B2B</v>
      </c>
    </row>
    <row r="82">
      <c r="A82" s="28" t="str">
        <f>All!A57</f>
        <v>Fibery</v>
      </c>
      <c r="B82" s="35" t="str">
        <f>All!B57</f>
        <v>$5.2m</v>
      </c>
      <c r="C82" s="28" t="str">
        <f>All!D57</f>
        <v>Teardown of Fibery's $5.2m Series A deck</v>
      </c>
      <c r="D82" s="35" t="str">
        <f>All!O57</f>
        <v>Productivity</v>
      </c>
      <c r="E82" s="43" t="str">
        <f>All!N57</f>
        <v>B2B</v>
      </c>
    </row>
    <row r="83">
      <c r="A83" s="28" t="str">
        <f>All!A41</f>
        <v>Scrintal</v>
      </c>
      <c r="B83" s="35" t="str">
        <f>All!B41</f>
        <v>$1m</v>
      </c>
      <c r="C83" s="28" t="str">
        <f>All!D41</f>
        <v>Teardown of Scrintal's $1m Seed deck</v>
      </c>
      <c r="D83" s="35" t="str">
        <f>All!O41</f>
        <v>Productivity</v>
      </c>
      <c r="E83" s="43" t="str">
        <f>All!N41</f>
        <v>B2B</v>
      </c>
    </row>
    <row r="84">
      <c r="A84" s="28" t="str">
        <f>All!A82</f>
        <v>Fifth Dimension AI</v>
      </c>
      <c r="B84" s="35" t="str">
        <f>All!B82</f>
        <v>$2.8m</v>
      </c>
      <c r="C84" s="28" t="str">
        <f>All!D82</f>
        <v>Teardown of Fifth Dimension AI's $2.8m Seed deck</v>
      </c>
      <c r="D84" s="35" t="str">
        <f>All!O82</f>
        <v>PropTech</v>
      </c>
      <c r="E84" s="43" t="str">
        <f>All!N82</f>
        <v>B2B</v>
      </c>
    </row>
    <row r="85">
      <c r="A85" s="28" t="str">
        <f>All!A78</f>
        <v>SplitBrick</v>
      </c>
      <c r="B85" s="35" t="str">
        <f>All!B78</f>
        <v>$200k</v>
      </c>
      <c r="C85" s="28" t="str">
        <f>All!D78</f>
        <v>Teardown of SplitBrick's $200k Angel deck</v>
      </c>
      <c r="D85" s="35" t="str">
        <f>All!O78</f>
        <v>Real Estate</v>
      </c>
      <c r="E85" s="43" t="str">
        <f>All!N78</f>
        <v>B2C</v>
      </c>
    </row>
    <row r="86">
      <c r="A86" s="28" t="str">
        <f>All!A66</f>
        <v>CleanHub</v>
      </c>
      <c r="B86" s="35" t="str">
        <f>All!B66</f>
        <v>$7m</v>
      </c>
      <c r="C86" s="28" t="str">
        <f>All!D66</f>
        <v>Teardown of CleanHub's $7m Seed deck</v>
      </c>
      <c r="D86" s="35" t="str">
        <f>All!O66</f>
        <v>Recycling</v>
      </c>
      <c r="E86" s="43" t="str">
        <f>All!N66</f>
        <v>B2B</v>
      </c>
    </row>
    <row r="87">
      <c r="A87" s="28" t="str">
        <f>All!A69</f>
        <v>ANYbotics AG</v>
      </c>
      <c r="B87" s="35" t="str">
        <f>All!B69</f>
        <v>$50m</v>
      </c>
      <c r="C87" s="28" t="str">
        <f>All!D69</f>
        <v>Teardown of ANYbotics AG's $50m Series B deck</v>
      </c>
      <c r="D87" s="35" t="str">
        <f>All!O69</f>
        <v>Robotics</v>
      </c>
      <c r="E87" s="43" t="str">
        <f>All!N69</f>
        <v>B2B</v>
      </c>
    </row>
    <row r="88">
      <c r="A88" s="28" t="str">
        <f>All!A101</f>
        <v>NOQX</v>
      </c>
      <c r="B88" s="35" t="str">
        <f>All!B101</f>
        <v>$200k</v>
      </c>
      <c r="C88" s="28" t="str">
        <f>All!D101</f>
        <v>Teardown of NOQX's $200k Pre-seed deck</v>
      </c>
      <c r="D88" s="35" t="str">
        <f>All!O101</f>
        <v>SaaS</v>
      </c>
      <c r="E88" s="43" t="str">
        <f>All!N101</f>
        <v>B2B</v>
      </c>
    </row>
    <row r="89">
      <c r="A89" s="28" t="str">
        <f>All!A44</f>
        <v>Spinach</v>
      </c>
      <c r="B89" s="35" t="str">
        <f>All!B44</f>
        <v>$3.5m</v>
      </c>
      <c r="C89" s="28" t="str">
        <f>All!D44</f>
        <v>Teardown of Spinach's $3.5m Seed deck</v>
      </c>
      <c r="D89" s="35" t="str">
        <f>All!O44</f>
        <v>SaaS</v>
      </c>
      <c r="E89" s="43" t="str">
        <f>All!N44</f>
        <v>B2B</v>
      </c>
    </row>
    <row r="90">
      <c r="A90" s="28" t="str">
        <f>All!A10</f>
        <v>Momentum</v>
      </c>
      <c r="B90" s="35" t="str">
        <f>All!B10</f>
        <v>$5m</v>
      </c>
      <c r="C90" s="28" t="str">
        <f>All!D10</f>
        <v>Teardown of Momentum's $5m Seed deck</v>
      </c>
      <c r="D90" s="35" t="str">
        <f>All!O10</f>
        <v>Sales</v>
      </c>
      <c r="E90" s="43" t="str">
        <f>All!N10</f>
        <v>B2B</v>
      </c>
    </row>
    <row r="91">
      <c r="A91" s="28" t="str">
        <f>All!A83</f>
        <v>Scalestack</v>
      </c>
      <c r="B91" s="35" t="str">
        <f>All!B83</f>
        <v>$1m</v>
      </c>
      <c r="C91" s="28" t="str">
        <f>All!D83</f>
        <v>Teardown of Scalestack's $1m Seed deck</v>
      </c>
      <c r="D91" s="35" t="str">
        <f>All!O83</f>
        <v>Sales</v>
      </c>
      <c r="E91" s="43" t="str">
        <f>All!N83</f>
        <v>B2B</v>
      </c>
    </row>
    <row r="92">
      <c r="A92" s="28" t="str">
        <f>All!A96</f>
        <v>Protecto</v>
      </c>
      <c r="B92" s="35" t="str">
        <f>All!B96</f>
        <v>$4m</v>
      </c>
      <c r="C92" s="28" t="str">
        <f>All!D96</f>
        <v>Teardown of Protecto's $4m Seed deck</v>
      </c>
      <c r="D92" s="35" t="str">
        <f>All!O96</f>
        <v>Security</v>
      </c>
      <c r="E92" s="43" t="str">
        <f>All!N96</f>
        <v>B2B</v>
      </c>
    </row>
    <row r="93">
      <c r="A93" s="28" t="str">
        <f>All!A106</f>
        <v>Kinnect</v>
      </c>
      <c r="B93" s="35" t="str">
        <f>All!B106</f>
        <v>$250k</v>
      </c>
      <c r="C93" s="28" t="str">
        <f>All!D106</f>
        <v>Teardown of Kinnect's $250k Angel deck</v>
      </c>
      <c r="D93" s="35" t="str">
        <f>All!O106</f>
        <v>Social Media</v>
      </c>
      <c r="E93" s="43" t="str">
        <f>All!N106</f>
        <v>B2C</v>
      </c>
    </row>
    <row r="94">
      <c r="A94" s="28" t="str">
        <f>All!A60</f>
        <v>Oii AI</v>
      </c>
      <c r="B94" s="35" t="str">
        <f>All!B60</f>
        <v>$1.85m</v>
      </c>
      <c r="C94" s="28" t="str">
        <f>All!D60</f>
        <v>Teardown of Oii AI's $1.85m Seed deck</v>
      </c>
      <c r="D94" s="35" t="str">
        <f>All!O60</f>
        <v>Supply Chain</v>
      </c>
      <c r="E94" s="43" t="str">
        <f>All!N60</f>
        <v>B2B</v>
      </c>
    </row>
    <row r="95">
      <c r="A95" s="28" t="str">
        <f>All!A72</f>
        <v>Tanbii</v>
      </c>
      <c r="B95" s="35" t="str">
        <f>All!B72</f>
        <v>$1.5m</v>
      </c>
      <c r="C95" s="28" t="str">
        <f>All!D72</f>
        <v>Teardown of Tanbii's $1.5m Pre-seed deck</v>
      </c>
      <c r="D95" s="35" t="str">
        <f>All!O72</f>
        <v>Sustainability</v>
      </c>
      <c r="E95" s="43" t="str">
        <f>All!N72</f>
        <v>B2C</v>
      </c>
    </row>
    <row r="96">
      <c r="A96" s="28" t="str">
        <f>All!A42</f>
        <v>Orange</v>
      </c>
      <c r="B96" s="35" t="str">
        <f>All!B42</f>
        <v>$2.5m</v>
      </c>
      <c r="C96" s="28" t="str">
        <f>All!D42</f>
        <v>Teardown of Orange's $2.5m Seed deck</v>
      </c>
      <c r="D96" s="35" t="str">
        <f>All!O42</f>
        <v>Transportation</v>
      </c>
      <c r="E96" s="43" t="str">
        <f>All!N42</f>
        <v>B2B2C</v>
      </c>
    </row>
    <row r="97">
      <c r="A97" s="28" t="str">
        <f>All!A46</f>
        <v>Uber</v>
      </c>
      <c r="B97" s="35" t="str">
        <f>All!B46</f>
        <v>$200k</v>
      </c>
      <c r="C97" s="28" t="str">
        <f>All!D46</f>
        <v>Teardown of Uber's $200k Pre-seed deck</v>
      </c>
      <c r="D97" s="35" t="str">
        <f>All!O46</f>
        <v>Transportation</v>
      </c>
      <c r="E97" s="43" t="str">
        <f>All!N46</f>
        <v>B2C</v>
      </c>
    </row>
    <row r="98">
      <c r="A98" s="28" t="str">
        <f>All!A17</f>
        <v>WayRay</v>
      </c>
      <c r="B98" s="35" t="str">
        <f>All!B17</f>
        <v>$80m</v>
      </c>
      <c r="C98" s="28" t="str">
        <f>All!D17</f>
        <v>Teardown of WayRay's $80m Series E deck</v>
      </c>
      <c r="D98" s="35" t="str">
        <f>All!O17</f>
        <v>Transportation</v>
      </c>
      <c r="E98" s="43" t="str">
        <f>All!N17</f>
        <v>B2B</v>
      </c>
    </row>
    <row r="99">
      <c r="A99" s="28" t="str">
        <f>All!A76</f>
        <v>point me</v>
      </c>
      <c r="B99" s="35" t="str">
        <f>All!B76</f>
        <v>$10m</v>
      </c>
      <c r="C99" s="28" t="str">
        <f>All!D76</f>
        <v>Teardown of point me's $10m Series A deck</v>
      </c>
      <c r="D99" s="35" t="str">
        <f>All!O76</f>
        <v>Travel</v>
      </c>
      <c r="E99" s="43" t="str">
        <f>All!N76</f>
        <v>B2C</v>
      </c>
    </row>
    <row r="100">
      <c r="A100" s="28" t="str">
        <f>All!A68</f>
        <v>SquadTrip</v>
      </c>
      <c r="B100" s="35" t="str">
        <f>All!B68</f>
        <v>$1.5m</v>
      </c>
      <c r="C100" s="28" t="str">
        <f>All!D68</f>
        <v>Teardown of SquadTrip's $1.5m Pre-seed deck</v>
      </c>
      <c r="D100" s="35" t="str">
        <f>All!O68</f>
        <v>Travel</v>
      </c>
      <c r="E100" s="43" t="str">
        <f>All!N68</f>
        <v>B2B</v>
      </c>
    </row>
    <row r="101">
      <c r="A101" s="28" t="str">
        <f>All!A93</f>
        <v>CommandBar</v>
      </c>
      <c r="B101" s="35" t="str">
        <f>All!B93</f>
        <v>$4.8m</v>
      </c>
      <c r="C101" s="28" t="str">
        <f>All!D93</f>
        <v>Teardown of CommandBar's $4.8m Seed deck</v>
      </c>
      <c r="D101" s="35" t="str">
        <f>All!O93</f>
        <v>UX</v>
      </c>
      <c r="E101" s="43" t="str">
        <f>All!N93</f>
        <v>B2B</v>
      </c>
    </row>
    <row r="102">
      <c r="A102" s="28" t="str">
        <f>All!A108</f>
        <v>Megamod</v>
      </c>
      <c r="B102" s="35" t="str">
        <f>All!B108</f>
        <v>$1.9m</v>
      </c>
      <c r="C102" s="28" t="str">
        <f>All!D108</f>
        <v>Teardown of Megamod's $1.9m Seed deck</v>
      </c>
      <c r="D102" s="35" t="str">
        <f>All!O108</f>
        <v>Gaming</v>
      </c>
      <c r="E102" s="43" t="str">
        <f>All!N108</f>
        <v>B2C</v>
      </c>
    </row>
    <row r="103">
      <c r="A103" s="35" t="str">
        <f>All!A109</f>
        <v/>
      </c>
      <c r="B103" s="35" t="str">
        <f>All!B109</f>
        <v/>
      </c>
      <c r="C103" s="35" t="str">
        <f>All!D109</f>
        <v/>
      </c>
      <c r="D103" s="35" t="str">
        <f>All!O109</f>
        <v/>
      </c>
      <c r="E103" s="43" t="str">
        <f>All!N109</f>
        <v/>
      </c>
    </row>
    <row r="104">
      <c r="A104" s="35" t="str">
        <f>All!A110</f>
        <v/>
      </c>
      <c r="B104" s="35" t="str">
        <f>All!B110</f>
        <v/>
      </c>
      <c r="C104" s="35" t="str">
        <f>All!D110</f>
        <v/>
      </c>
      <c r="D104" s="35" t="str">
        <f>All!O110</f>
        <v/>
      </c>
      <c r="E104" s="43" t="str">
        <f>All!N110</f>
        <v/>
      </c>
    </row>
    <row r="105">
      <c r="A105" s="35" t="str">
        <f>All!A111</f>
        <v/>
      </c>
      <c r="B105" s="35" t="str">
        <f>All!B111</f>
        <v/>
      </c>
      <c r="C105" s="35" t="str">
        <f>All!D111</f>
        <v/>
      </c>
      <c r="D105" s="35" t="str">
        <f>All!O111</f>
        <v/>
      </c>
      <c r="E105" s="43" t="str">
        <f>All!N111</f>
        <v/>
      </c>
    </row>
    <row r="106">
      <c r="A106" s="35" t="str">
        <f>All!A112</f>
        <v/>
      </c>
      <c r="B106" s="35" t="str">
        <f>All!B112</f>
        <v/>
      </c>
      <c r="C106" s="35" t="str">
        <f>All!D112</f>
        <v/>
      </c>
      <c r="D106" s="35" t="str">
        <f>All!O112</f>
        <v/>
      </c>
      <c r="E106" s="43" t="str">
        <f>All!N112</f>
        <v/>
      </c>
    </row>
    <row r="107">
      <c r="A107" s="35" t="str">
        <f>All!A113</f>
        <v/>
      </c>
      <c r="B107" s="35" t="str">
        <f>All!B113</f>
        <v/>
      </c>
      <c r="C107" s="35" t="str">
        <f>All!D113</f>
        <v/>
      </c>
      <c r="D107" s="35" t="str">
        <f>All!O113</f>
        <v/>
      </c>
      <c r="E107" s="43" t="str">
        <f>All!N113</f>
        <v/>
      </c>
    </row>
    <row r="108">
      <c r="A108" s="35" t="str">
        <f>All!A114</f>
        <v/>
      </c>
      <c r="B108" s="35" t="str">
        <f>All!B114</f>
        <v/>
      </c>
      <c r="C108" s="35" t="str">
        <f>All!D114</f>
        <v/>
      </c>
      <c r="D108" s="35" t="str">
        <f>All!O114</f>
        <v/>
      </c>
      <c r="E108" s="43" t="str">
        <f>All!N114</f>
        <v/>
      </c>
    </row>
    <row r="109">
      <c r="A109" s="35" t="str">
        <f>All!A115</f>
        <v/>
      </c>
      <c r="B109" s="35" t="str">
        <f>All!B115</f>
        <v/>
      </c>
      <c r="C109" s="35" t="str">
        <f>All!D115</f>
        <v/>
      </c>
      <c r="D109" s="35" t="str">
        <f>All!O115</f>
        <v/>
      </c>
      <c r="E109" s="43" t="str">
        <f>All!N115</f>
        <v/>
      </c>
    </row>
    <row r="110">
      <c r="A110" s="35" t="str">
        <f>All!A116</f>
        <v/>
      </c>
      <c r="B110" s="35" t="str">
        <f>All!B116</f>
        <v/>
      </c>
      <c r="C110" s="35" t="str">
        <f>All!D116</f>
        <v/>
      </c>
      <c r="D110" s="35" t="str">
        <f>All!O116</f>
        <v/>
      </c>
      <c r="E110" s="43" t="str">
        <f>All!N116</f>
        <v/>
      </c>
    </row>
    <row r="111">
      <c r="A111" s="35" t="str">
        <f>All!A117</f>
        <v/>
      </c>
      <c r="B111" s="35" t="str">
        <f>All!B117</f>
        <v/>
      </c>
      <c r="C111" s="35" t="str">
        <f>All!D117</f>
        <v/>
      </c>
      <c r="D111" s="35" t="str">
        <f>All!O117</f>
        <v/>
      </c>
      <c r="E111" s="43" t="str">
        <f>All!N117</f>
        <v/>
      </c>
    </row>
    <row r="112">
      <c r="A112" s="35" t="str">
        <f>All!A118</f>
        <v/>
      </c>
      <c r="B112" s="35" t="str">
        <f>All!B118</f>
        <v/>
      </c>
      <c r="C112" s="35" t="str">
        <f>All!D118</f>
        <v/>
      </c>
      <c r="D112" s="35" t="str">
        <f>All!O118</f>
        <v/>
      </c>
      <c r="E112" s="43" t="str">
        <f>All!N118</f>
        <v/>
      </c>
    </row>
    <row r="113">
      <c r="A113" s="35" t="str">
        <f>All!A119</f>
        <v/>
      </c>
      <c r="B113" s="35" t="str">
        <f>All!B119</f>
        <v/>
      </c>
      <c r="C113" s="35" t="str">
        <f>All!D119</f>
        <v/>
      </c>
      <c r="D113" s="35" t="str">
        <f>All!O119</f>
        <v/>
      </c>
      <c r="E113" s="43" t="str">
        <f>All!N119</f>
        <v/>
      </c>
    </row>
    <row r="114">
      <c r="A114" s="35" t="str">
        <f>All!A120</f>
        <v/>
      </c>
      <c r="B114" s="35" t="str">
        <f>All!B120</f>
        <v/>
      </c>
      <c r="C114" s="35" t="str">
        <f>All!D120</f>
        <v/>
      </c>
      <c r="D114" s="35" t="str">
        <f>All!O120</f>
        <v/>
      </c>
      <c r="E114" s="43" t="str">
        <f>All!N120</f>
        <v/>
      </c>
    </row>
    <row r="115">
      <c r="A115" s="35" t="str">
        <f>All!A121</f>
        <v/>
      </c>
      <c r="B115" s="35" t="str">
        <f>All!B121</f>
        <v/>
      </c>
      <c r="C115" s="35" t="str">
        <f>All!D121</f>
        <v/>
      </c>
      <c r="D115" s="35" t="str">
        <f>All!O121</f>
        <v/>
      </c>
      <c r="E115" s="43" t="str">
        <f>All!N121</f>
        <v/>
      </c>
    </row>
    <row r="116">
      <c r="A116" s="35" t="str">
        <f>All!A122</f>
        <v/>
      </c>
      <c r="B116" s="35" t="str">
        <f>All!B122</f>
        <v/>
      </c>
      <c r="C116" s="35" t="str">
        <f>All!D122</f>
        <v/>
      </c>
      <c r="D116" s="35" t="str">
        <f>All!O122</f>
        <v/>
      </c>
      <c r="E116" s="43" t="str">
        <f>All!N122</f>
        <v/>
      </c>
    </row>
    <row r="117">
      <c r="A117" s="35" t="str">
        <f>All!A123</f>
        <v/>
      </c>
      <c r="B117" s="35" t="str">
        <f>All!B123</f>
        <v/>
      </c>
      <c r="C117" s="35" t="str">
        <f>All!D123</f>
        <v/>
      </c>
      <c r="D117" s="35" t="str">
        <f>All!O123</f>
        <v/>
      </c>
      <c r="E117" s="43" t="str">
        <f>All!N123</f>
        <v/>
      </c>
    </row>
    <row r="118">
      <c r="A118" s="35" t="str">
        <f>All!A124</f>
        <v/>
      </c>
      <c r="B118" s="35" t="str">
        <f>All!B124</f>
        <v/>
      </c>
      <c r="C118" s="35" t="str">
        <f>All!D124</f>
        <v/>
      </c>
      <c r="D118" s="35" t="str">
        <f>All!O124</f>
        <v/>
      </c>
      <c r="E118" s="43" t="str">
        <f>All!N124</f>
        <v/>
      </c>
    </row>
    <row r="119">
      <c r="A119" s="35" t="str">
        <f>All!A125</f>
        <v/>
      </c>
      <c r="B119" s="35" t="str">
        <f>All!B125</f>
        <v/>
      </c>
      <c r="C119" s="35" t="str">
        <f>All!D125</f>
        <v/>
      </c>
      <c r="D119" s="35" t="str">
        <f>All!O125</f>
        <v/>
      </c>
      <c r="E119" s="43" t="str">
        <f>All!N125</f>
        <v/>
      </c>
    </row>
    <row r="120">
      <c r="A120" s="35" t="str">
        <f>All!A126</f>
        <v/>
      </c>
      <c r="B120" s="35" t="str">
        <f>All!B126</f>
        <v/>
      </c>
      <c r="C120" s="35" t="str">
        <f>All!D126</f>
        <v/>
      </c>
      <c r="D120" s="35" t="str">
        <f>All!O126</f>
        <v/>
      </c>
      <c r="E120" s="43" t="str">
        <f>All!N126</f>
        <v/>
      </c>
    </row>
    <row r="121">
      <c r="A121" s="35" t="str">
        <f>All!A127</f>
        <v/>
      </c>
      <c r="B121" s="35" t="str">
        <f>All!B127</f>
        <v/>
      </c>
      <c r="C121" s="35" t="str">
        <f>All!D127</f>
        <v/>
      </c>
      <c r="D121" s="35" t="str">
        <f>All!O127</f>
        <v/>
      </c>
      <c r="E121" s="43" t="str">
        <f>All!N127</f>
        <v/>
      </c>
    </row>
    <row r="122">
      <c r="A122" s="35" t="str">
        <f>All!A128</f>
        <v/>
      </c>
      <c r="B122" s="35" t="str">
        <f>All!B128</f>
        <v/>
      </c>
      <c r="C122" s="35" t="str">
        <f>All!D128</f>
        <v/>
      </c>
      <c r="D122" s="35" t="str">
        <f>All!O128</f>
        <v/>
      </c>
      <c r="E122" s="43" t="str">
        <f>All!N128</f>
        <v/>
      </c>
    </row>
    <row r="123">
      <c r="A123" s="35" t="str">
        <f>All!A129</f>
        <v/>
      </c>
      <c r="B123" s="35" t="str">
        <f>All!B129</f>
        <v/>
      </c>
      <c r="C123" s="35" t="str">
        <f>All!D129</f>
        <v/>
      </c>
      <c r="D123" s="35" t="str">
        <f>All!O129</f>
        <v/>
      </c>
      <c r="E123" s="43" t="str">
        <f>All!N129</f>
        <v/>
      </c>
    </row>
    <row r="124">
      <c r="A124" s="35" t="str">
        <f>All!A130</f>
        <v/>
      </c>
      <c r="B124" s="35" t="str">
        <f>All!B130</f>
        <v/>
      </c>
      <c r="C124" s="35" t="str">
        <f>All!D130</f>
        <v/>
      </c>
      <c r="D124" s="35" t="str">
        <f>All!O130</f>
        <v/>
      </c>
      <c r="E124" s="43" t="str">
        <f>All!N130</f>
        <v/>
      </c>
    </row>
    <row r="125">
      <c r="A125" s="35" t="str">
        <f>All!A131</f>
        <v/>
      </c>
      <c r="B125" s="35" t="str">
        <f>All!B131</f>
        <v/>
      </c>
      <c r="C125" s="35" t="str">
        <f>All!D131</f>
        <v/>
      </c>
      <c r="D125" s="35" t="str">
        <f>All!O131</f>
        <v/>
      </c>
      <c r="E125" s="43" t="str">
        <f>All!N131</f>
        <v/>
      </c>
    </row>
    <row r="126">
      <c r="A126" s="35" t="str">
        <f>All!A132</f>
        <v/>
      </c>
      <c r="B126" s="35" t="str">
        <f>All!B132</f>
        <v/>
      </c>
      <c r="C126" s="35" t="str">
        <f>All!D132</f>
        <v/>
      </c>
      <c r="D126" s="35" t="str">
        <f>All!O132</f>
        <v/>
      </c>
      <c r="E126" s="43" t="str">
        <f>All!N132</f>
        <v/>
      </c>
    </row>
    <row r="127">
      <c r="A127" s="35" t="str">
        <f>All!A133</f>
        <v/>
      </c>
      <c r="B127" s="35" t="str">
        <f>All!B133</f>
        <v/>
      </c>
      <c r="C127" s="35" t="str">
        <f>All!D133</f>
        <v/>
      </c>
      <c r="D127" s="35" t="str">
        <f>All!O133</f>
        <v/>
      </c>
      <c r="E127" s="43" t="str">
        <f>All!N133</f>
        <v/>
      </c>
    </row>
    <row r="128">
      <c r="A128" s="35" t="str">
        <f>All!A134</f>
        <v/>
      </c>
      <c r="B128" s="35" t="str">
        <f>All!B134</f>
        <v/>
      </c>
      <c r="C128" s="35" t="str">
        <f>All!D134</f>
        <v/>
      </c>
      <c r="D128" s="35" t="str">
        <f>All!O134</f>
        <v/>
      </c>
      <c r="E128" s="43" t="str">
        <f>All!N134</f>
        <v/>
      </c>
    </row>
    <row r="129">
      <c r="A129" s="35" t="str">
        <f>All!A135</f>
        <v/>
      </c>
      <c r="B129" s="35" t="str">
        <f>All!B135</f>
        <v/>
      </c>
      <c r="C129" s="35" t="str">
        <f>All!D135</f>
        <v/>
      </c>
      <c r="D129" s="35" t="str">
        <f>All!O135</f>
        <v/>
      </c>
      <c r="E129" s="43" t="str">
        <f>All!N135</f>
        <v/>
      </c>
    </row>
    <row r="130">
      <c r="A130" s="35" t="str">
        <f>All!A136</f>
        <v/>
      </c>
      <c r="B130" s="35" t="str">
        <f>All!B136</f>
        <v/>
      </c>
      <c r="C130" s="35" t="str">
        <f>All!D136</f>
        <v/>
      </c>
      <c r="D130" s="35" t="str">
        <f>All!O136</f>
        <v/>
      </c>
      <c r="E130" s="43" t="str">
        <f>All!N136</f>
        <v/>
      </c>
    </row>
    <row r="131">
      <c r="A131" s="35" t="str">
        <f>All!A137</f>
        <v/>
      </c>
      <c r="B131" s="35" t="str">
        <f>All!B137</f>
        <v/>
      </c>
      <c r="C131" s="35" t="str">
        <f>All!D137</f>
        <v/>
      </c>
      <c r="D131" s="35" t="str">
        <f>All!O137</f>
        <v/>
      </c>
      <c r="E131" s="43" t="str">
        <f>All!N137</f>
        <v/>
      </c>
    </row>
    <row r="132">
      <c r="A132" s="35" t="str">
        <f>All!A138</f>
        <v/>
      </c>
      <c r="B132" s="35" t="str">
        <f>All!B138</f>
        <v/>
      </c>
      <c r="C132" s="35" t="str">
        <f>All!D138</f>
        <v/>
      </c>
      <c r="D132" s="35" t="str">
        <f>All!O138</f>
        <v/>
      </c>
      <c r="E132" s="43" t="str">
        <f>All!N138</f>
        <v/>
      </c>
    </row>
    <row r="133">
      <c r="A133" s="35" t="str">
        <f>All!A139</f>
        <v/>
      </c>
      <c r="B133" s="35" t="str">
        <f>All!B139</f>
        <v/>
      </c>
      <c r="C133" s="35" t="str">
        <f>All!D139</f>
        <v/>
      </c>
      <c r="D133" s="35" t="str">
        <f>All!O139</f>
        <v/>
      </c>
      <c r="E133" s="43" t="str">
        <f>All!N139</f>
        <v/>
      </c>
    </row>
    <row r="134">
      <c r="A134" s="35" t="str">
        <f>All!A140</f>
        <v/>
      </c>
      <c r="B134" s="35" t="str">
        <f>All!B140</f>
        <v/>
      </c>
      <c r="C134" s="35" t="str">
        <f>All!D140</f>
        <v/>
      </c>
      <c r="D134" s="35" t="str">
        <f>All!O140</f>
        <v/>
      </c>
      <c r="E134" s="43" t="str">
        <f>All!N140</f>
        <v/>
      </c>
    </row>
    <row r="135">
      <c r="A135" s="35" t="str">
        <f>All!A141</f>
        <v/>
      </c>
      <c r="B135" s="35" t="str">
        <f>All!B141</f>
        <v/>
      </c>
      <c r="C135" s="35" t="str">
        <f>All!D141</f>
        <v/>
      </c>
      <c r="D135" s="35" t="str">
        <f>All!O141</f>
        <v/>
      </c>
      <c r="E135" s="43" t="str">
        <f>All!N141</f>
        <v/>
      </c>
    </row>
    <row r="136">
      <c r="A136" s="35" t="str">
        <f>All!A142</f>
        <v/>
      </c>
      <c r="B136" s="35" t="str">
        <f>All!B142</f>
        <v/>
      </c>
      <c r="C136" s="35" t="str">
        <f>All!D142</f>
        <v/>
      </c>
      <c r="D136" s="35" t="str">
        <f>All!O142</f>
        <v/>
      </c>
      <c r="E136" s="43" t="str">
        <f>All!N142</f>
        <v/>
      </c>
    </row>
    <row r="137">
      <c r="A137" s="35" t="str">
        <f>All!A143</f>
        <v/>
      </c>
      <c r="B137" s="35" t="str">
        <f>All!B143</f>
        <v/>
      </c>
      <c r="C137" s="35" t="str">
        <f>All!D143</f>
        <v/>
      </c>
      <c r="D137" s="35" t="str">
        <f>All!O143</f>
        <v/>
      </c>
      <c r="E137" s="43" t="str">
        <f>All!N143</f>
        <v/>
      </c>
    </row>
    <row r="138">
      <c r="A138" s="35" t="str">
        <f>All!A144</f>
        <v/>
      </c>
      <c r="B138" s="35" t="str">
        <f>All!B144</f>
        <v/>
      </c>
      <c r="C138" s="35" t="str">
        <f>All!D144</f>
        <v/>
      </c>
      <c r="D138" s="35" t="str">
        <f>All!O144</f>
        <v/>
      </c>
      <c r="E138" s="43" t="str">
        <f>All!N144</f>
        <v/>
      </c>
    </row>
    <row r="139">
      <c r="A139" s="35" t="str">
        <f>All!A145</f>
        <v/>
      </c>
      <c r="B139" s="35" t="str">
        <f>All!B145</f>
        <v/>
      </c>
      <c r="C139" s="35" t="str">
        <f>All!D145</f>
        <v/>
      </c>
      <c r="D139" s="35" t="str">
        <f>All!O145</f>
        <v/>
      </c>
      <c r="E139" s="43" t="str">
        <f>All!N145</f>
        <v/>
      </c>
    </row>
    <row r="140">
      <c r="A140" s="35" t="str">
        <f>All!A146</f>
        <v/>
      </c>
      <c r="B140" s="35" t="str">
        <f>All!B146</f>
        <v/>
      </c>
      <c r="C140" s="35" t="str">
        <f>All!D146</f>
        <v/>
      </c>
      <c r="D140" s="35" t="str">
        <f>All!O146</f>
        <v/>
      </c>
      <c r="E140" s="43" t="str">
        <f>All!N146</f>
        <v/>
      </c>
    </row>
    <row r="141">
      <c r="A141" s="35" t="str">
        <f>All!A147</f>
        <v/>
      </c>
      <c r="B141" s="35" t="str">
        <f>All!B147</f>
        <v/>
      </c>
      <c r="C141" s="35" t="str">
        <f>All!D147</f>
        <v/>
      </c>
      <c r="D141" s="35" t="str">
        <f>All!O147</f>
        <v/>
      </c>
      <c r="E141" s="43" t="str">
        <f>All!N147</f>
        <v/>
      </c>
    </row>
    <row r="142">
      <c r="A142" s="35" t="str">
        <f>All!A148</f>
        <v/>
      </c>
      <c r="B142" s="35" t="str">
        <f>All!B148</f>
        <v/>
      </c>
      <c r="C142" s="35" t="str">
        <f>All!D148</f>
        <v/>
      </c>
      <c r="D142" s="35" t="str">
        <f>All!O148</f>
        <v/>
      </c>
      <c r="E142" s="43" t="str">
        <f>All!N148</f>
        <v/>
      </c>
    </row>
    <row r="143">
      <c r="A143" s="35" t="str">
        <f>All!A149</f>
        <v/>
      </c>
      <c r="B143" s="35" t="str">
        <f>All!B149</f>
        <v/>
      </c>
      <c r="C143" s="35" t="str">
        <f>All!D149</f>
        <v/>
      </c>
      <c r="D143" s="35" t="str">
        <f>All!O149</f>
        <v/>
      </c>
      <c r="E143" s="43" t="str">
        <f>All!N149</f>
        <v/>
      </c>
    </row>
    <row r="144">
      <c r="A144" s="35" t="str">
        <f>All!A150</f>
        <v/>
      </c>
      <c r="B144" s="35" t="str">
        <f>All!B150</f>
        <v/>
      </c>
      <c r="C144" s="35" t="str">
        <f>All!D150</f>
        <v/>
      </c>
      <c r="D144" s="35" t="str">
        <f>All!O150</f>
        <v/>
      </c>
      <c r="E144" s="43" t="str">
        <f>All!N150</f>
        <v/>
      </c>
    </row>
    <row r="145">
      <c r="A145" s="35" t="str">
        <f>All!A151</f>
        <v/>
      </c>
      <c r="B145" s="35" t="str">
        <f>All!B151</f>
        <v/>
      </c>
      <c r="C145" s="35" t="str">
        <f>All!D151</f>
        <v/>
      </c>
      <c r="D145" s="35" t="str">
        <f>All!O151</f>
        <v/>
      </c>
      <c r="E145" s="43" t="str">
        <f>All!N151</f>
        <v/>
      </c>
    </row>
    <row r="146">
      <c r="A146" s="35" t="str">
        <f>All!A152</f>
        <v/>
      </c>
      <c r="B146" s="35" t="str">
        <f>All!B152</f>
        <v/>
      </c>
      <c r="C146" s="35" t="str">
        <f>All!D152</f>
        <v/>
      </c>
      <c r="D146" s="35" t="str">
        <f>All!O152</f>
        <v/>
      </c>
      <c r="E146" s="43" t="str">
        <f>All!N152</f>
        <v/>
      </c>
    </row>
    <row r="147">
      <c r="A147" s="35" t="str">
        <f>All!A153</f>
        <v/>
      </c>
      <c r="B147" s="35" t="str">
        <f>All!B153</f>
        <v/>
      </c>
      <c r="C147" s="35" t="str">
        <f>All!D153</f>
        <v/>
      </c>
      <c r="D147" s="35" t="str">
        <f>All!O153</f>
        <v/>
      </c>
      <c r="E147" s="43" t="str">
        <f>All!N153</f>
        <v/>
      </c>
    </row>
    <row r="148">
      <c r="A148" s="35" t="str">
        <f>All!A154</f>
        <v/>
      </c>
      <c r="B148" s="35" t="str">
        <f>All!B154</f>
        <v/>
      </c>
      <c r="C148" s="35" t="str">
        <f>All!D154</f>
        <v/>
      </c>
      <c r="D148" s="35" t="str">
        <f>All!O154</f>
        <v/>
      </c>
      <c r="E148" s="43" t="str">
        <f>All!N154</f>
        <v/>
      </c>
    </row>
    <row r="149">
      <c r="A149" s="35" t="str">
        <f>All!A155</f>
        <v/>
      </c>
      <c r="B149" s="35" t="str">
        <f>All!B155</f>
        <v/>
      </c>
      <c r="C149" s="35" t="str">
        <f>All!D155</f>
        <v/>
      </c>
      <c r="D149" s="35" t="str">
        <f>All!O155</f>
        <v/>
      </c>
      <c r="E149" s="43" t="str">
        <f>All!N155</f>
        <v/>
      </c>
    </row>
    <row r="150">
      <c r="A150" s="35" t="str">
        <f>All!A156</f>
        <v/>
      </c>
      <c r="B150" s="35" t="str">
        <f>All!B156</f>
        <v/>
      </c>
      <c r="C150" s="35" t="str">
        <f>All!D156</f>
        <v/>
      </c>
      <c r="D150" s="35" t="str">
        <f>All!O156</f>
        <v/>
      </c>
      <c r="E150" s="43" t="str">
        <f>All!N156</f>
        <v/>
      </c>
    </row>
    <row r="151">
      <c r="A151" s="35" t="str">
        <f>All!A157</f>
        <v/>
      </c>
      <c r="B151" s="35" t="str">
        <f>All!B157</f>
        <v/>
      </c>
      <c r="C151" s="35" t="str">
        <f>All!D157</f>
        <v/>
      </c>
      <c r="D151" s="35" t="str">
        <f>All!O157</f>
        <v/>
      </c>
      <c r="E151" s="43" t="str">
        <f>All!N157</f>
        <v/>
      </c>
    </row>
    <row r="152">
      <c r="A152" s="35" t="str">
        <f>All!A158</f>
        <v/>
      </c>
      <c r="B152" s="35" t="str">
        <f>All!B158</f>
        <v/>
      </c>
      <c r="C152" s="35" t="str">
        <f>All!D158</f>
        <v/>
      </c>
      <c r="D152" s="35" t="str">
        <f>All!O158</f>
        <v/>
      </c>
      <c r="E152" s="43" t="str">
        <f>All!N158</f>
        <v/>
      </c>
    </row>
    <row r="153">
      <c r="A153" s="35" t="str">
        <f>All!A159</f>
        <v/>
      </c>
      <c r="B153" s="35" t="str">
        <f>All!B159</f>
        <v/>
      </c>
      <c r="C153" s="35" t="str">
        <f>All!D159</f>
        <v/>
      </c>
      <c r="D153" s="35" t="str">
        <f>All!O159</f>
        <v/>
      </c>
      <c r="E153" s="43" t="str">
        <f>All!N159</f>
        <v/>
      </c>
    </row>
    <row r="154">
      <c r="A154" s="35" t="str">
        <f>All!A160</f>
        <v/>
      </c>
      <c r="B154" s="35" t="str">
        <f>All!B160</f>
        <v/>
      </c>
      <c r="C154" s="35" t="str">
        <f>All!D160</f>
        <v/>
      </c>
      <c r="D154" s="35" t="str">
        <f>All!O160</f>
        <v/>
      </c>
      <c r="E154" s="43" t="str">
        <f>All!N160</f>
        <v/>
      </c>
    </row>
    <row r="155">
      <c r="A155" s="35" t="str">
        <f>All!A161</f>
        <v/>
      </c>
      <c r="B155" s="35" t="str">
        <f>All!B161</f>
        <v/>
      </c>
      <c r="C155" s="35" t="str">
        <f>All!D161</f>
        <v/>
      </c>
      <c r="D155" s="35" t="str">
        <f>All!O161</f>
        <v/>
      </c>
      <c r="E155" s="43" t="str">
        <f>All!N161</f>
        <v/>
      </c>
    </row>
    <row r="156">
      <c r="A156" s="35" t="str">
        <f>All!A162</f>
        <v/>
      </c>
      <c r="B156" s="35" t="str">
        <f>All!B162</f>
        <v/>
      </c>
      <c r="C156" s="35" t="str">
        <f>All!D162</f>
        <v/>
      </c>
      <c r="D156" s="35" t="str">
        <f>All!O162</f>
        <v/>
      </c>
      <c r="E156" s="43" t="str">
        <f>All!N162</f>
        <v/>
      </c>
    </row>
    <row r="157">
      <c r="A157" s="35" t="str">
        <f>All!A163</f>
        <v/>
      </c>
      <c r="B157" s="35" t="str">
        <f>All!B163</f>
        <v/>
      </c>
      <c r="C157" s="35" t="str">
        <f>All!D163</f>
        <v/>
      </c>
      <c r="D157" s="35" t="str">
        <f>All!O163</f>
        <v/>
      </c>
      <c r="E157" s="43" t="str">
        <f>All!N163</f>
        <v/>
      </c>
    </row>
    <row r="158">
      <c r="A158" s="35" t="str">
        <f>All!A164</f>
        <v/>
      </c>
      <c r="B158" s="35" t="str">
        <f>All!B164</f>
        <v/>
      </c>
      <c r="C158" s="35" t="str">
        <f>All!D164</f>
        <v/>
      </c>
      <c r="D158" s="35" t="str">
        <f>All!O164</f>
        <v/>
      </c>
      <c r="E158" s="43" t="str">
        <f>All!N164</f>
        <v/>
      </c>
    </row>
    <row r="159">
      <c r="A159" s="35" t="str">
        <f>All!A165</f>
        <v/>
      </c>
      <c r="B159" s="35" t="str">
        <f>All!B165</f>
        <v/>
      </c>
      <c r="C159" s="35" t="str">
        <f>All!D165</f>
        <v/>
      </c>
      <c r="D159" s="35" t="str">
        <f>All!O165</f>
        <v/>
      </c>
      <c r="E159" s="43" t="str">
        <f>All!N165</f>
        <v/>
      </c>
    </row>
    <row r="160">
      <c r="A160" s="35" t="str">
        <f>All!A166</f>
        <v/>
      </c>
      <c r="B160" s="35" t="str">
        <f>All!B166</f>
        <v/>
      </c>
      <c r="C160" s="35" t="str">
        <f>All!D166</f>
        <v/>
      </c>
      <c r="D160" s="35" t="str">
        <f>All!O166</f>
        <v/>
      </c>
      <c r="E160" s="43" t="str">
        <f>All!N166</f>
        <v/>
      </c>
    </row>
    <row r="161">
      <c r="A161" s="35" t="str">
        <f>All!A167</f>
        <v/>
      </c>
      <c r="B161" s="35" t="str">
        <f>All!B167</f>
        <v/>
      </c>
      <c r="C161" s="35" t="str">
        <f>All!D167</f>
        <v/>
      </c>
      <c r="D161" s="35" t="str">
        <f>All!O167</f>
        <v/>
      </c>
      <c r="E161" s="43" t="str">
        <f>All!N167</f>
        <v/>
      </c>
    </row>
    <row r="162">
      <c r="A162" s="35" t="str">
        <f>All!A168</f>
        <v/>
      </c>
      <c r="B162" s="35" t="str">
        <f>All!B168</f>
        <v/>
      </c>
      <c r="C162" s="35" t="str">
        <f>All!D168</f>
        <v/>
      </c>
      <c r="D162" s="35" t="str">
        <f>All!O168</f>
        <v/>
      </c>
      <c r="E162" s="43" t="str">
        <f>All!N168</f>
        <v/>
      </c>
    </row>
    <row r="163">
      <c r="A163" s="35" t="str">
        <f>All!A169</f>
        <v/>
      </c>
      <c r="B163" s="35" t="str">
        <f>All!B169</f>
        <v/>
      </c>
      <c r="C163" s="35" t="str">
        <f>All!D169</f>
        <v/>
      </c>
      <c r="D163" s="35" t="str">
        <f>All!O169</f>
        <v/>
      </c>
      <c r="E163" s="43" t="str">
        <f>All!N169</f>
        <v/>
      </c>
    </row>
    <row r="164">
      <c r="A164" s="35" t="str">
        <f>All!A170</f>
        <v/>
      </c>
      <c r="B164" s="35" t="str">
        <f>All!B170</f>
        <v/>
      </c>
      <c r="C164" s="35" t="str">
        <f>All!D170</f>
        <v/>
      </c>
      <c r="D164" s="35" t="str">
        <f>All!O170</f>
        <v/>
      </c>
      <c r="E164" s="43" t="str">
        <f>All!N170</f>
        <v/>
      </c>
    </row>
    <row r="165">
      <c r="A165" s="35" t="str">
        <f>All!A171</f>
        <v/>
      </c>
      <c r="B165" s="35" t="str">
        <f>All!B171</f>
        <v/>
      </c>
      <c r="C165" s="35" t="str">
        <f>All!D171</f>
        <v/>
      </c>
      <c r="D165" s="35" t="str">
        <f>All!O171</f>
        <v/>
      </c>
      <c r="E165" s="43" t="str">
        <f>All!N171</f>
        <v/>
      </c>
    </row>
    <row r="166">
      <c r="A166" s="35" t="str">
        <f>All!A172</f>
        <v/>
      </c>
      <c r="B166" s="35" t="str">
        <f>All!B172</f>
        <v/>
      </c>
      <c r="C166" s="35" t="str">
        <f>All!D172</f>
        <v/>
      </c>
      <c r="D166" s="35" t="str">
        <f>All!O172</f>
        <v/>
      </c>
      <c r="E166" s="43" t="str">
        <f>All!N172</f>
        <v/>
      </c>
    </row>
    <row r="167">
      <c r="A167" s="35" t="str">
        <f>All!A173</f>
        <v/>
      </c>
      <c r="B167" s="35" t="str">
        <f>All!B173</f>
        <v/>
      </c>
      <c r="C167" s="35" t="str">
        <f>All!D173</f>
        <v/>
      </c>
      <c r="D167" s="35" t="str">
        <f>All!O173</f>
        <v/>
      </c>
      <c r="E167" s="43" t="str">
        <f>All!N173</f>
        <v/>
      </c>
    </row>
    <row r="168">
      <c r="A168" s="35" t="str">
        <f>All!A174</f>
        <v/>
      </c>
      <c r="B168" s="35" t="str">
        <f>All!B174</f>
        <v/>
      </c>
      <c r="C168" s="35" t="str">
        <f>All!D174</f>
        <v/>
      </c>
      <c r="D168" s="35" t="str">
        <f>All!O174</f>
        <v/>
      </c>
      <c r="E168" s="43" t="str">
        <f>All!N174</f>
        <v/>
      </c>
    </row>
    <row r="169">
      <c r="A169" s="35" t="str">
        <f>All!A175</f>
        <v/>
      </c>
      <c r="B169" s="35" t="str">
        <f>All!B175</f>
        <v/>
      </c>
      <c r="C169" s="35" t="str">
        <f>All!D175</f>
        <v/>
      </c>
      <c r="D169" s="35" t="str">
        <f>All!O175</f>
        <v/>
      </c>
      <c r="E169" s="43" t="str">
        <f>All!N175</f>
        <v/>
      </c>
    </row>
    <row r="170">
      <c r="A170" s="35" t="str">
        <f>All!A176</f>
        <v/>
      </c>
      <c r="B170" s="35" t="str">
        <f>All!B176</f>
        <v/>
      </c>
      <c r="C170" s="35" t="str">
        <f>All!D176</f>
        <v/>
      </c>
      <c r="D170" s="35" t="str">
        <f>All!O176</f>
        <v/>
      </c>
      <c r="E170" s="43" t="str">
        <f>All!N176</f>
        <v/>
      </c>
    </row>
    <row r="171">
      <c r="A171" s="35" t="str">
        <f>All!A177</f>
        <v/>
      </c>
      <c r="B171" s="35" t="str">
        <f>All!B177</f>
        <v/>
      </c>
      <c r="C171" s="35" t="str">
        <f>All!D177</f>
        <v/>
      </c>
      <c r="D171" s="35" t="str">
        <f>All!O177</f>
        <v/>
      </c>
      <c r="E171" s="43" t="str">
        <f>All!N177</f>
        <v/>
      </c>
    </row>
    <row r="172">
      <c r="A172" s="35" t="str">
        <f>All!A178</f>
        <v/>
      </c>
      <c r="B172" s="35" t="str">
        <f>All!B178</f>
        <v/>
      </c>
      <c r="C172" s="35" t="str">
        <f>All!D178</f>
        <v/>
      </c>
      <c r="D172" s="35" t="str">
        <f>All!O178</f>
        <v/>
      </c>
      <c r="E172" s="43" t="str">
        <f>All!N178</f>
        <v/>
      </c>
    </row>
    <row r="173">
      <c r="A173" s="35" t="str">
        <f>All!A179</f>
        <v/>
      </c>
      <c r="B173" s="35" t="str">
        <f>All!B179</f>
        <v/>
      </c>
      <c r="C173" s="35" t="str">
        <f>All!D179</f>
        <v/>
      </c>
      <c r="D173" s="35" t="str">
        <f>All!O179</f>
        <v/>
      </c>
      <c r="E173" s="43" t="str">
        <f>All!N179</f>
        <v/>
      </c>
    </row>
    <row r="174">
      <c r="A174" s="35" t="str">
        <f>All!A180</f>
        <v/>
      </c>
      <c r="B174" s="35" t="str">
        <f>All!B180</f>
        <v/>
      </c>
      <c r="C174" s="35" t="str">
        <f>All!D180</f>
        <v/>
      </c>
      <c r="D174" s="35" t="str">
        <f>All!O180</f>
        <v/>
      </c>
      <c r="E174" s="43" t="str">
        <f>All!N180</f>
        <v/>
      </c>
    </row>
    <row r="175">
      <c r="A175" s="35" t="str">
        <f>All!A181</f>
        <v/>
      </c>
      <c r="B175" s="35" t="str">
        <f>All!B181</f>
        <v/>
      </c>
      <c r="C175" s="35" t="str">
        <f>All!D181</f>
        <v/>
      </c>
      <c r="D175" s="35" t="str">
        <f>All!O181</f>
        <v/>
      </c>
      <c r="E175" s="43" t="str">
        <f>All!N181</f>
        <v/>
      </c>
    </row>
    <row r="176">
      <c r="A176" s="35" t="str">
        <f>All!A182</f>
        <v/>
      </c>
      <c r="B176" s="35" t="str">
        <f>All!B182</f>
        <v/>
      </c>
      <c r="C176" s="35" t="str">
        <f>All!D182</f>
        <v/>
      </c>
      <c r="D176" s="35" t="str">
        <f>All!O182</f>
        <v/>
      </c>
      <c r="E176" s="43" t="str">
        <f>All!N182</f>
        <v/>
      </c>
    </row>
    <row r="177">
      <c r="A177" s="35" t="str">
        <f>All!A183</f>
        <v/>
      </c>
      <c r="B177" s="35" t="str">
        <f>All!B183</f>
        <v/>
      </c>
      <c r="C177" s="35" t="str">
        <f>All!D183</f>
        <v/>
      </c>
      <c r="D177" s="35" t="str">
        <f>All!O183</f>
        <v/>
      </c>
      <c r="E177" s="43" t="str">
        <f>All!N183</f>
        <v/>
      </c>
    </row>
    <row r="178">
      <c r="A178" s="35" t="str">
        <f>All!A184</f>
        <v/>
      </c>
      <c r="B178" s="35" t="str">
        <f>All!B184</f>
        <v/>
      </c>
      <c r="C178" s="35" t="str">
        <f>All!D184</f>
        <v/>
      </c>
      <c r="D178" s="35" t="str">
        <f>All!O184</f>
        <v/>
      </c>
      <c r="E178" s="43" t="str">
        <f>All!N184</f>
        <v/>
      </c>
    </row>
    <row r="179">
      <c r="A179" s="35" t="str">
        <f>All!A185</f>
        <v/>
      </c>
      <c r="B179" s="35" t="str">
        <f>All!B185</f>
        <v/>
      </c>
      <c r="C179" s="35" t="str">
        <f>All!D185</f>
        <v/>
      </c>
      <c r="D179" s="35" t="str">
        <f>All!O185</f>
        <v/>
      </c>
      <c r="E179" s="43" t="str">
        <f>All!N185</f>
        <v/>
      </c>
    </row>
    <row r="180">
      <c r="A180" s="35" t="str">
        <f>All!A186</f>
        <v/>
      </c>
      <c r="B180" s="35" t="str">
        <f>All!B186</f>
        <v/>
      </c>
      <c r="C180" s="35" t="str">
        <f>All!D186</f>
        <v/>
      </c>
      <c r="D180" s="35" t="str">
        <f>All!O186</f>
        <v/>
      </c>
      <c r="E180" s="43" t="str">
        <f>All!N186</f>
        <v/>
      </c>
    </row>
    <row r="181">
      <c r="A181" s="35" t="str">
        <f>All!A187</f>
        <v/>
      </c>
      <c r="B181" s="35" t="str">
        <f>All!B187</f>
        <v/>
      </c>
      <c r="C181" s="35" t="str">
        <f>All!D187</f>
        <v/>
      </c>
      <c r="D181" s="35" t="str">
        <f>All!O187</f>
        <v/>
      </c>
      <c r="E181" s="43" t="str">
        <f>All!N187</f>
        <v/>
      </c>
    </row>
    <row r="182">
      <c r="A182" s="35" t="str">
        <f>All!A188</f>
        <v/>
      </c>
      <c r="B182" s="35" t="str">
        <f>All!B188</f>
        <v/>
      </c>
      <c r="C182" s="35" t="str">
        <f>All!D188</f>
        <v/>
      </c>
      <c r="D182" s="35" t="str">
        <f>All!O188</f>
        <v/>
      </c>
      <c r="E182" s="43" t="str">
        <f>All!N188</f>
        <v/>
      </c>
    </row>
    <row r="183">
      <c r="A183" s="35" t="str">
        <f>All!A189</f>
        <v/>
      </c>
      <c r="B183" s="35" t="str">
        <f>All!B189</f>
        <v/>
      </c>
      <c r="C183" s="35" t="str">
        <f>All!D189</f>
        <v/>
      </c>
      <c r="D183" s="35" t="str">
        <f>All!O189</f>
        <v/>
      </c>
      <c r="E183" s="43" t="str">
        <f>All!N189</f>
        <v/>
      </c>
    </row>
    <row r="184">
      <c r="A184" s="35" t="str">
        <f>All!A190</f>
        <v/>
      </c>
      <c r="B184" s="35" t="str">
        <f>All!B190</f>
        <v/>
      </c>
      <c r="C184" s="35" t="str">
        <f>All!D190</f>
        <v/>
      </c>
      <c r="D184" s="35" t="str">
        <f>All!O190</f>
        <v/>
      </c>
      <c r="E184" s="43" t="str">
        <f>All!N190</f>
        <v/>
      </c>
    </row>
    <row r="185">
      <c r="A185" s="35" t="str">
        <f>All!A191</f>
        <v/>
      </c>
      <c r="B185" s="35" t="str">
        <f>All!B191</f>
        <v/>
      </c>
      <c r="C185" s="35" t="str">
        <f>All!D191</f>
        <v/>
      </c>
      <c r="D185" s="35" t="str">
        <f>All!O191</f>
        <v/>
      </c>
      <c r="E185" s="43" t="str">
        <f>All!N191</f>
        <v/>
      </c>
    </row>
    <row r="186">
      <c r="A186" s="35" t="str">
        <f>All!A192</f>
        <v/>
      </c>
      <c r="B186" s="35" t="str">
        <f>All!B192</f>
        <v/>
      </c>
      <c r="C186" s="35" t="str">
        <f>All!D192</f>
        <v/>
      </c>
      <c r="D186" s="35" t="str">
        <f>All!O192</f>
        <v/>
      </c>
      <c r="E186" s="43" t="str">
        <f>All!N192</f>
        <v/>
      </c>
    </row>
    <row r="187">
      <c r="A187" s="35" t="str">
        <f>All!A193</f>
        <v/>
      </c>
      <c r="B187" s="35" t="str">
        <f>All!B193</f>
        <v/>
      </c>
      <c r="C187" s="35" t="str">
        <f>All!D193</f>
        <v/>
      </c>
      <c r="D187" s="35" t="str">
        <f>All!O193</f>
        <v/>
      </c>
      <c r="E187" s="43" t="str">
        <f>All!N193</f>
        <v/>
      </c>
    </row>
    <row r="188">
      <c r="A188" s="35" t="str">
        <f>All!A194</f>
        <v/>
      </c>
      <c r="B188" s="35" t="str">
        <f>All!B194</f>
        <v/>
      </c>
      <c r="C188" s="35" t="str">
        <f>All!D194</f>
        <v/>
      </c>
      <c r="D188" s="35" t="str">
        <f>All!O194</f>
        <v/>
      </c>
      <c r="E188" s="43" t="str">
        <f>All!N194</f>
        <v/>
      </c>
    </row>
    <row r="189">
      <c r="A189" s="35" t="str">
        <f>All!A195</f>
        <v/>
      </c>
      <c r="B189" s="35" t="str">
        <f>All!B195</f>
        <v/>
      </c>
      <c r="C189" s="35" t="str">
        <f>All!D195</f>
        <v/>
      </c>
      <c r="D189" s="35" t="str">
        <f>All!O195</f>
        <v/>
      </c>
      <c r="E189" s="43" t="str">
        <f>All!N195</f>
        <v/>
      </c>
    </row>
    <row r="190">
      <c r="A190" s="35" t="str">
        <f>All!A196</f>
        <v/>
      </c>
      <c r="B190" s="35" t="str">
        <f>All!B196</f>
        <v/>
      </c>
      <c r="C190" s="35" t="str">
        <f>All!D196</f>
        <v/>
      </c>
      <c r="D190" s="35" t="str">
        <f>All!O196</f>
        <v/>
      </c>
      <c r="E190" s="43" t="str">
        <f>All!N196</f>
        <v/>
      </c>
    </row>
    <row r="191">
      <c r="A191" s="35" t="str">
        <f>All!A197</f>
        <v/>
      </c>
      <c r="B191" s="35" t="str">
        <f>All!B197</f>
        <v/>
      </c>
      <c r="C191" s="35" t="str">
        <f>All!D197</f>
        <v/>
      </c>
      <c r="D191" s="35" t="str">
        <f>All!O197</f>
        <v/>
      </c>
      <c r="E191" s="43" t="str">
        <f>All!N197</f>
        <v/>
      </c>
    </row>
    <row r="192">
      <c r="A192" s="35" t="str">
        <f>All!A198</f>
        <v/>
      </c>
      <c r="B192" s="35" t="str">
        <f>All!B198</f>
        <v/>
      </c>
      <c r="C192" s="35" t="str">
        <f>All!D198</f>
        <v/>
      </c>
      <c r="D192" s="35" t="str">
        <f>All!O198</f>
        <v/>
      </c>
      <c r="E192" s="43" t="str">
        <f>All!N198</f>
        <v/>
      </c>
    </row>
    <row r="193">
      <c r="A193" s="35" t="str">
        <f>All!A199</f>
        <v/>
      </c>
      <c r="B193" s="35" t="str">
        <f>All!B199</f>
        <v/>
      </c>
      <c r="C193" s="35" t="str">
        <f>All!D199</f>
        <v/>
      </c>
      <c r="D193" s="35" t="str">
        <f>All!O199</f>
        <v/>
      </c>
      <c r="E193" s="43" t="str">
        <f>All!N199</f>
        <v/>
      </c>
    </row>
    <row r="194">
      <c r="A194" s="35" t="str">
        <f>All!A200</f>
        <v/>
      </c>
      <c r="B194" s="35" t="str">
        <f>All!B200</f>
        <v/>
      </c>
      <c r="C194" s="35" t="str">
        <f>All!D200</f>
        <v/>
      </c>
      <c r="D194" s="35" t="str">
        <f>All!O200</f>
        <v/>
      </c>
      <c r="E194" s="43" t="str">
        <f>All!N200</f>
        <v/>
      </c>
    </row>
    <row r="195">
      <c r="A195" s="35" t="str">
        <f>All!A201</f>
        <v/>
      </c>
      <c r="B195" s="35" t="str">
        <f>All!B201</f>
        <v/>
      </c>
      <c r="C195" s="35" t="str">
        <f>All!D201</f>
        <v/>
      </c>
      <c r="D195" s="35" t="str">
        <f>All!O201</f>
        <v/>
      </c>
      <c r="E195" s="43" t="str">
        <f>All!N201</f>
        <v/>
      </c>
    </row>
    <row r="196">
      <c r="A196" s="35" t="str">
        <f>All!A202</f>
        <v/>
      </c>
      <c r="B196" s="35" t="str">
        <f>All!B202</f>
        <v/>
      </c>
      <c r="C196" s="35" t="str">
        <f>All!D202</f>
        <v/>
      </c>
      <c r="D196" s="35" t="str">
        <f>All!O202</f>
        <v/>
      </c>
      <c r="E196" s="43" t="str">
        <f>All!N202</f>
        <v/>
      </c>
    </row>
    <row r="197">
      <c r="A197" s="35" t="str">
        <f>All!A203</f>
        <v/>
      </c>
      <c r="B197" s="35" t="str">
        <f>All!B203</f>
        <v/>
      </c>
      <c r="C197" s="35" t="str">
        <f>All!D203</f>
        <v/>
      </c>
      <c r="D197" s="35" t="str">
        <f>All!O203</f>
        <v/>
      </c>
      <c r="E197" s="43" t="str">
        <f>All!N203</f>
        <v/>
      </c>
    </row>
    <row r="198">
      <c r="A198" s="35" t="str">
        <f>All!A204</f>
        <v/>
      </c>
      <c r="B198" s="35" t="str">
        <f>All!B204</f>
        <v/>
      </c>
      <c r="C198" s="35" t="str">
        <f>All!D204</f>
        <v/>
      </c>
      <c r="D198" s="35" t="str">
        <f>All!O204</f>
        <v/>
      </c>
      <c r="E198" s="43" t="str">
        <f>All!N204</f>
        <v/>
      </c>
    </row>
    <row r="199">
      <c r="A199" s="35" t="str">
        <f>All!A205</f>
        <v/>
      </c>
      <c r="B199" s="35" t="str">
        <f>All!B205</f>
        <v/>
      </c>
      <c r="C199" s="35" t="str">
        <f>All!D205</f>
        <v/>
      </c>
      <c r="D199" s="35" t="str">
        <f>All!O205</f>
        <v/>
      </c>
      <c r="E199" s="43" t="str">
        <f>All!N205</f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13"/>
    <col customWidth="1" min="2" max="2" width="6.75"/>
    <col customWidth="1" min="3" max="3" width="64.75"/>
    <col customWidth="1" min="4" max="4" width="19.63"/>
  </cols>
  <sheetData>
    <row r="1">
      <c r="A1" s="36" t="s">
        <v>31</v>
      </c>
      <c r="B1" s="36"/>
      <c r="C1" s="36"/>
      <c r="D1" s="36"/>
      <c r="E1" s="36"/>
    </row>
    <row r="2">
      <c r="A2" s="44" t="s">
        <v>13</v>
      </c>
      <c r="B2" s="45" t="s">
        <v>14</v>
      </c>
      <c r="C2" s="44" t="s">
        <v>16</v>
      </c>
      <c r="D2" s="44" t="s">
        <v>32</v>
      </c>
      <c r="E2" s="44" t="s">
        <v>33</v>
      </c>
    </row>
    <row r="3">
      <c r="A3" s="28" t="str">
        <f>All!A33</f>
        <v>Palau Project </v>
      </c>
      <c r="B3" s="35" t="str">
        <f>All!B33</f>
        <v>$125k</v>
      </c>
      <c r="C3" s="28" t="str">
        <f>All!D33</f>
        <v>Teardown of Palau Project 's $125k Pre-seed deck</v>
      </c>
      <c r="D3" s="35" t="str">
        <f>All!C33</f>
        <v>Pre-seed</v>
      </c>
      <c r="E3" s="47">
        <f>All!I33</f>
        <v>125000</v>
      </c>
    </row>
    <row r="4">
      <c r="A4" s="28" t="str">
        <f>All!A46</f>
        <v>Uber</v>
      </c>
      <c r="B4" s="35" t="str">
        <f>All!B46</f>
        <v>$200k</v>
      </c>
      <c r="C4" s="28" t="str">
        <f>All!D46</f>
        <v>Teardown of Uber's $200k Pre-seed deck</v>
      </c>
      <c r="D4" s="35" t="str">
        <f>All!C46</f>
        <v>Pre-seed</v>
      </c>
      <c r="E4" s="47">
        <f>All!I46</f>
        <v>200000</v>
      </c>
    </row>
    <row r="5">
      <c r="A5" s="28" t="str">
        <f>All!A78</f>
        <v>SplitBrick</v>
      </c>
      <c r="B5" s="35" t="str">
        <f>All!B78</f>
        <v>$200k</v>
      </c>
      <c r="C5" s="28" t="str">
        <f>All!D78</f>
        <v>Teardown of SplitBrick's $200k Angel deck</v>
      </c>
      <c r="D5" s="35" t="str">
        <f>All!C78</f>
        <v>Angel</v>
      </c>
      <c r="E5" s="47">
        <f>All!I78</f>
        <v>200000</v>
      </c>
    </row>
    <row r="6">
      <c r="A6" s="28" t="str">
        <f>All!A101</f>
        <v>NOQX</v>
      </c>
      <c r="B6" s="35" t="str">
        <f>All!B101</f>
        <v>$200k</v>
      </c>
      <c r="C6" s="28" t="str">
        <f>All!D101</f>
        <v>Teardown of NOQX's $200k Pre-seed deck</v>
      </c>
      <c r="D6" s="35" t="str">
        <f>All!C101</f>
        <v>Pre-seed</v>
      </c>
      <c r="E6" s="47">
        <f>All!I101</f>
        <v>200000</v>
      </c>
    </row>
    <row r="7">
      <c r="A7" s="28" t="str">
        <f>All!A106</f>
        <v>Kinnect</v>
      </c>
      <c r="B7" s="35" t="str">
        <f>All!B106</f>
        <v>$250k</v>
      </c>
      <c r="C7" s="28" t="str">
        <f>All!D106</f>
        <v>Teardown of Kinnect's $250k Angel deck</v>
      </c>
      <c r="D7" s="35" t="str">
        <f>All!C106</f>
        <v>Angel</v>
      </c>
      <c r="E7" s="47">
        <f>All!I106</f>
        <v>250000</v>
      </c>
    </row>
    <row r="8">
      <c r="A8" s="28" t="str">
        <f>All!A98</f>
        <v>Queerie</v>
      </c>
      <c r="B8" s="35" t="str">
        <f>All!B98</f>
        <v>$300k</v>
      </c>
      <c r="C8" s="28" t="str">
        <f>All!D98</f>
        <v>Teardown of Queerie's $300k Pre-seed deck</v>
      </c>
      <c r="D8" s="35" t="str">
        <f>All!C98</f>
        <v>Pre-seed</v>
      </c>
      <c r="E8" s="47">
        <f>All!I98</f>
        <v>300000</v>
      </c>
    </row>
    <row r="9">
      <c r="A9" s="28" t="str">
        <f>All!A40</f>
        <v>Card Blanch</v>
      </c>
      <c r="B9" s="35" t="str">
        <f>All!B40</f>
        <v>$460k</v>
      </c>
      <c r="C9" s="28" t="str">
        <f>All!D40</f>
        <v>Teardown of Card Blanch's $460k Angel deck</v>
      </c>
      <c r="D9" s="35" t="str">
        <f>All!C40</f>
        <v>Angel</v>
      </c>
      <c r="E9" s="47">
        <f>All!I40</f>
        <v>460000</v>
      </c>
    </row>
    <row r="10">
      <c r="A10" s="28" t="str">
        <f>All!A34</f>
        <v>Syneroid Technologies</v>
      </c>
      <c r="B10" s="35" t="str">
        <f>All!B34</f>
        <v>$500k</v>
      </c>
      <c r="C10" s="28" t="str">
        <f>All!D34</f>
        <v>Teardown of Syneroid Technologies's $500k Seed deck</v>
      </c>
      <c r="D10" s="35" t="str">
        <f>All!C34</f>
        <v>Seed</v>
      </c>
      <c r="E10" s="47">
        <f>All!I34</f>
        <v>500000</v>
      </c>
    </row>
    <row r="11">
      <c r="A11" s="28" t="str">
        <f>All!A100</f>
        <v>Geodesic.Life</v>
      </c>
      <c r="B11" s="35" t="str">
        <f>All!B100</f>
        <v>$500k</v>
      </c>
      <c r="C11" s="28" t="str">
        <f>All!D100</f>
        <v>Teardown of Geodesic.Life's $500k Pre-seed deck</v>
      </c>
      <c r="D11" s="35" t="str">
        <f>All!C100</f>
        <v>Pre-seed</v>
      </c>
      <c r="E11" s="47">
        <f>All!I100</f>
        <v>500000</v>
      </c>
    </row>
    <row r="12">
      <c r="A12" s="28" t="str">
        <f>All!A48</f>
        <v>MiO Marketplace</v>
      </c>
      <c r="B12" s="35" t="str">
        <f>All!B48</f>
        <v>$550k</v>
      </c>
      <c r="C12" s="28" t="str">
        <f>All!D48</f>
        <v>Teardown of MiO Marketplace's $550k Angel deck</v>
      </c>
      <c r="D12" s="35" t="str">
        <f>All!C48</f>
        <v>Angel</v>
      </c>
      <c r="E12" s="47">
        <f>All!I48</f>
        <v>550000</v>
      </c>
    </row>
    <row r="13">
      <c r="A13" s="28" t="str">
        <f>All!A43</f>
        <v>Laoshi</v>
      </c>
      <c r="B13" s="35" t="str">
        <f>All!B43</f>
        <v>$570k</v>
      </c>
      <c r="C13" s="28" t="str">
        <f>All!D43</f>
        <v>Teardown of Laoshi's $570k Angel  deck</v>
      </c>
      <c r="D13" s="35" t="str">
        <f>All!C43</f>
        <v>Angel </v>
      </c>
      <c r="E13" s="47">
        <f>All!I43</f>
        <v>570000</v>
      </c>
    </row>
    <row r="14">
      <c r="A14" s="28" t="str">
        <f>All!A45</f>
        <v>Incymo AI</v>
      </c>
      <c r="B14" s="35" t="str">
        <f>All!B45</f>
        <v>$850k</v>
      </c>
      <c r="C14" s="28" t="str">
        <f>All!D45</f>
        <v>Teardown of Incymo AI's $850k Seed deck</v>
      </c>
      <c r="D14" s="35" t="str">
        <f>All!C45</f>
        <v>Seed</v>
      </c>
      <c r="E14" s="47">
        <f>All!I45</f>
        <v>850000</v>
      </c>
    </row>
    <row r="15">
      <c r="A15" s="28" t="str">
        <f>All!A32</f>
        <v>Supliful</v>
      </c>
      <c r="B15" s="35" t="str">
        <f>All!B32</f>
        <v>$1m</v>
      </c>
      <c r="C15" s="28" t="str">
        <f>All!D32</f>
        <v>Teardown of Supliful's $1m Seed deck</v>
      </c>
      <c r="D15" s="35" t="str">
        <f>All!C32</f>
        <v>Seed</v>
      </c>
      <c r="E15" s="47">
        <f>All!I32</f>
        <v>1000000</v>
      </c>
    </row>
    <row r="16">
      <c r="A16" s="28" t="str">
        <f>All!A41</f>
        <v>Scrintal</v>
      </c>
      <c r="B16" s="35" t="str">
        <f>All!B41</f>
        <v>$1m</v>
      </c>
      <c r="C16" s="28" t="str">
        <f>All!D41</f>
        <v>Teardown of Scrintal's $1m Seed deck</v>
      </c>
      <c r="D16" s="35" t="str">
        <f>All!C41</f>
        <v>Seed</v>
      </c>
      <c r="E16" s="47">
        <f>All!I41</f>
        <v>1000000</v>
      </c>
    </row>
    <row r="17">
      <c r="A17" s="35" t="str">
        <f>All!A56</f>
        <v>The Perfect Pitch Deck</v>
      </c>
      <c r="B17" s="35" t="str">
        <f>All!B56</f>
        <v>$1m</v>
      </c>
      <c r="C17" s="28" t="str">
        <f>All!D56</f>
        <v>Teardown of The Perfect Pitch Deck's $1m Seed deck</v>
      </c>
      <c r="D17" s="35" t="str">
        <f>All!C56</f>
        <v>Seed</v>
      </c>
      <c r="E17" s="47">
        <f>All!I56</f>
        <v>1000000</v>
      </c>
    </row>
    <row r="18">
      <c r="A18" s="28" t="str">
        <f>All!A61</f>
        <v>CulturePulse</v>
      </c>
      <c r="B18" s="35" t="str">
        <f>All!B61</f>
        <v>$1m</v>
      </c>
      <c r="C18" s="28" t="str">
        <f>All!D61</f>
        <v>Teardown of CulturePulse's $1m Seed deck</v>
      </c>
      <c r="D18" s="35" t="str">
        <f>All!C61</f>
        <v>Seed</v>
      </c>
      <c r="E18" s="47">
        <f>All!I61</f>
        <v>1000000</v>
      </c>
    </row>
    <row r="19">
      <c r="A19" s="28" t="str">
        <f>All!A70</f>
        <v>DeckMatch</v>
      </c>
      <c r="B19" s="35" t="str">
        <f>All!B70</f>
        <v>$1m</v>
      </c>
      <c r="C19" s="28" t="str">
        <f>All!D70</f>
        <v>Teardown of DeckMatch's $1m Seed deck</v>
      </c>
      <c r="D19" s="35" t="str">
        <f>All!C70</f>
        <v>Seed</v>
      </c>
      <c r="E19" s="47">
        <f>All!I70</f>
        <v>1000000</v>
      </c>
    </row>
    <row r="20">
      <c r="A20" s="28" t="str">
        <f>All!A83</f>
        <v>Scalestack</v>
      </c>
      <c r="B20" s="35" t="str">
        <f>All!B83</f>
        <v>$1m</v>
      </c>
      <c r="C20" s="28" t="str">
        <f>All!D83</f>
        <v>Teardown of Scalestack's $1m Seed deck</v>
      </c>
      <c r="D20" s="35" t="str">
        <f>All!C83</f>
        <v>Seed</v>
      </c>
      <c r="E20" s="47">
        <f>All!I83</f>
        <v>1000000</v>
      </c>
    </row>
    <row r="21">
      <c r="A21" s="28" t="str">
        <f>All!A89</f>
        <v>Doola</v>
      </c>
      <c r="B21" s="35" t="str">
        <f>All!B89</f>
        <v>$1m</v>
      </c>
      <c r="C21" s="28" t="str">
        <f>All!D89</f>
        <v>Teardown of Doola's $1m Series A extension deck</v>
      </c>
      <c r="D21" s="35" t="str">
        <f>All!C89</f>
        <v>Series A extension</v>
      </c>
      <c r="E21" s="47">
        <f>All!I89</f>
        <v>1000000</v>
      </c>
    </row>
    <row r="22">
      <c r="A22" s="28" t="str">
        <f>All!A24</f>
        <v>Five Flute</v>
      </c>
      <c r="B22" s="35" t="str">
        <f>All!B24</f>
        <v>$1.2m</v>
      </c>
      <c r="C22" s="28" t="str">
        <f>All!D24</f>
        <v>Teardown of Five Flute's $1.2m Pre-seed deck</v>
      </c>
      <c r="D22" s="35" t="str">
        <f>All!C24</f>
        <v>Pre-seed</v>
      </c>
      <c r="E22" s="47">
        <f>All!I24</f>
        <v>1200000</v>
      </c>
    </row>
    <row r="23">
      <c r="A23" s="28" t="str">
        <f>All!A97</f>
        <v>Plantee Innovations</v>
      </c>
      <c r="B23" s="35" t="str">
        <f>All!B97</f>
        <v>$1.4m</v>
      </c>
      <c r="C23" s="28" t="str">
        <f>All!D97</f>
        <v>Teardown of Plantee Innovations's $1.4m Seed deck</v>
      </c>
      <c r="D23" s="35" t="str">
        <f>All!C97</f>
        <v>Seed</v>
      </c>
      <c r="E23" s="47">
        <f>All!I97</f>
        <v>1400000</v>
      </c>
    </row>
    <row r="24">
      <c r="A24" s="28" t="str">
        <f>All!A25</f>
        <v>Mi Terro</v>
      </c>
      <c r="B24" s="35" t="str">
        <f>All!B25</f>
        <v>$1.5m</v>
      </c>
      <c r="C24" s="28" t="str">
        <f>All!D25</f>
        <v>Teardown of Mi Terro's $1.5m Seed deck</v>
      </c>
      <c r="D24" s="35" t="str">
        <f>All!C25</f>
        <v>Seed</v>
      </c>
      <c r="E24" s="47">
        <f>All!I25</f>
        <v>1500000</v>
      </c>
    </row>
    <row r="25">
      <c r="A25" s="28" t="str">
        <f>All!A50</f>
        <v>Prelaunch</v>
      </c>
      <c r="B25" s="35" t="str">
        <f>All!B50</f>
        <v>$1.5m</v>
      </c>
      <c r="C25" s="28" t="str">
        <f>All!D50</f>
        <v>Teardown of Prelaunch's $1.5m Seed deck</v>
      </c>
      <c r="D25" s="35" t="str">
        <f>All!C50</f>
        <v>Seed</v>
      </c>
      <c r="E25" s="47">
        <f>All!I50</f>
        <v>1500000</v>
      </c>
    </row>
    <row r="26">
      <c r="A26" s="28" t="str">
        <f>All!A68</f>
        <v>SquadTrip</v>
      </c>
      <c r="B26" s="35" t="str">
        <f>All!B68</f>
        <v>$1.5m</v>
      </c>
      <c r="C26" s="28" t="str">
        <f>All!D68</f>
        <v>Teardown of SquadTrip's $1.5m Pre-seed deck</v>
      </c>
      <c r="D26" s="35" t="str">
        <f>All!C68</f>
        <v>Pre-seed</v>
      </c>
      <c r="E26" s="47">
        <f>All!I68</f>
        <v>1500000</v>
      </c>
    </row>
    <row r="27">
      <c r="A27" s="28" t="str">
        <f>All!A72</f>
        <v>Tanbii</v>
      </c>
      <c r="B27" s="35" t="str">
        <f>All!B72</f>
        <v>$1.5m</v>
      </c>
      <c r="C27" s="28" t="str">
        <f>All!D72</f>
        <v>Teardown of Tanbii's $1.5m Pre-seed deck</v>
      </c>
      <c r="D27" s="35" t="str">
        <f>All!C72</f>
        <v>Pre-seed</v>
      </c>
      <c r="E27" s="47">
        <f>All!I72</f>
        <v>1500000</v>
      </c>
    </row>
    <row r="28">
      <c r="A28" s="28" t="str">
        <f>All!A60</f>
        <v>Oii AI</v>
      </c>
      <c r="B28" s="35" t="str">
        <f>All!B60</f>
        <v>$1.85m</v>
      </c>
      <c r="C28" s="28" t="str">
        <f>All!D60</f>
        <v>Teardown of Oii AI's $1.85m Seed deck</v>
      </c>
      <c r="D28" s="35" t="str">
        <f>All!C60</f>
        <v>Seed</v>
      </c>
      <c r="E28" s="47">
        <f>All!I60</f>
        <v>1850000</v>
      </c>
    </row>
    <row r="29">
      <c r="A29" s="28" t="str">
        <f>All!A108</f>
        <v>Megamod</v>
      </c>
      <c r="B29" s="35" t="str">
        <f>All!B108</f>
        <v>$1.9m</v>
      </c>
      <c r="C29" s="28" t="str">
        <f>All!D108</f>
        <v>Teardown of Megamod's $1.9m Seed deck</v>
      </c>
      <c r="D29" s="35" t="str">
        <f>All!C108</f>
        <v>Seed</v>
      </c>
      <c r="E29" s="47">
        <f>All!I108</f>
        <v>1900000</v>
      </c>
    </row>
    <row r="30">
      <c r="A30" s="28" t="str">
        <f>All!A19</f>
        <v>Enduring Planet</v>
      </c>
      <c r="B30" s="35" t="str">
        <f>All!B19</f>
        <v>$2m</v>
      </c>
      <c r="C30" s="28" t="str">
        <f>All!D19</f>
        <v>Teardown of Enduring Planet's $2m Seed deck</v>
      </c>
      <c r="D30" s="35" t="str">
        <f>All!C19</f>
        <v>Seed</v>
      </c>
      <c r="E30" s="47">
        <f>All!I19</f>
        <v>2000000</v>
      </c>
    </row>
    <row r="31">
      <c r="A31" s="28" t="str">
        <f>All!A94</f>
        <v>Astek Diagnostics</v>
      </c>
      <c r="B31" s="35" t="str">
        <f>All!B94</f>
        <v>$2m</v>
      </c>
      <c r="C31" s="28" t="str">
        <f>All!D94</f>
        <v>Teardown of Astek Diagnostics's $2m Seed deck</v>
      </c>
      <c r="D31" s="35" t="str">
        <f>All!C94</f>
        <v>Seed</v>
      </c>
      <c r="E31" s="47">
        <f>All!I94</f>
        <v>2000000</v>
      </c>
    </row>
    <row r="32">
      <c r="A32" s="28" t="str">
        <f>All!A12</f>
        <v>BoxedUp</v>
      </c>
      <c r="B32" s="35" t="str">
        <f>All!B12</f>
        <v>$2.3m</v>
      </c>
      <c r="C32" s="28" t="str">
        <f>All!D12</f>
        <v>Teardown of BoxedUp's $2.3m Seed deck</v>
      </c>
      <c r="D32" s="35" t="str">
        <f>All!C12</f>
        <v>Seed</v>
      </c>
      <c r="E32" s="47">
        <f>All!I12</f>
        <v>2300000</v>
      </c>
    </row>
    <row r="33">
      <c r="A33" s="28" t="str">
        <f>All!A62</f>
        <v>Netmaker</v>
      </c>
      <c r="B33" s="35" t="str">
        <f>All!B62</f>
        <v>$2.3m</v>
      </c>
      <c r="C33" s="28" t="str">
        <f>All!D62</f>
        <v>Teardown of Netmaker's $2.3m Seed deck</v>
      </c>
      <c r="D33" s="35" t="str">
        <f>All!C62</f>
        <v>Seed</v>
      </c>
      <c r="E33" s="47">
        <f>All!I62</f>
        <v>2300000</v>
      </c>
    </row>
    <row r="34">
      <c r="A34" s="28" t="str">
        <f>All!A23</f>
        <v>Glambook</v>
      </c>
      <c r="B34" s="35" t="str">
        <f>All!B23</f>
        <v>$2.5m</v>
      </c>
      <c r="C34" s="28" t="str">
        <f>All!D23</f>
        <v>Teardown of Glambook's $2.5m Seed deck</v>
      </c>
      <c r="D34" s="35" t="str">
        <f>All!C23</f>
        <v>Seed</v>
      </c>
      <c r="E34" s="47">
        <f>All!I23</f>
        <v>2500000</v>
      </c>
    </row>
    <row r="35">
      <c r="A35" s="28" t="str">
        <f>All!A42</f>
        <v>Orange</v>
      </c>
      <c r="B35" s="35" t="str">
        <f>All!B42</f>
        <v>$2.5m</v>
      </c>
      <c r="C35" s="28" t="str">
        <f>All!D42</f>
        <v>Teardown of Orange's $2.5m Seed deck</v>
      </c>
      <c r="D35" s="35" t="str">
        <f>All!C42</f>
        <v>Seed</v>
      </c>
      <c r="E35" s="47">
        <f>All!I42</f>
        <v>2500000</v>
      </c>
    </row>
    <row r="36">
      <c r="A36" s="28" t="str">
        <f>All!A82</f>
        <v>Fifth Dimension AI</v>
      </c>
      <c r="B36" s="35" t="str">
        <f>All!B82</f>
        <v>$2.8m</v>
      </c>
      <c r="C36" s="28" t="str">
        <f>All!D82</f>
        <v>Teardown of Fifth Dimension AI's $2.8m Seed deck</v>
      </c>
      <c r="D36" s="35" t="str">
        <f>All!C82</f>
        <v>Seed</v>
      </c>
      <c r="E36" s="47">
        <f>All!I82</f>
        <v>2800000</v>
      </c>
    </row>
    <row r="37">
      <c r="A37" s="28" t="str">
        <f>All!A14</f>
        <v>Encore</v>
      </c>
      <c r="B37" s="35" t="str">
        <f>All!B14</f>
        <v>$3m</v>
      </c>
      <c r="C37" s="28" t="str">
        <f>All!D14</f>
        <v>Teardown of Encore's $3m Seed deck</v>
      </c>
      <c r="D37" s="35" t="str">
        <f>All!C14</f>
        <v>Seed</v>
      </c>
      <c r="E37" s="47">
        <f>All!I14</f>
        <v>3000000</v>
      </c>
    </row>
    <row r="38">
      <c r="A38" s="28" t="str">
        <f>All!A30</f>
        <v>Rokoko</v>
      </c>
      <c r="B38" s="35" t="str">
        <f>All!B30</f>
        <v>$3m</v>
      </c>
      <c r="C38" s="28" t="str">
        <f>All!D30</f>
        <v>Teardown of Rokoko's $3m Strategic Extension deck</v>
      </c>
      <c r="D38" s="35" t="str">
        <f>All!C30</f>
        <v>Strategic Extension</v>
      </c>
      <c r="E38" s="47">
        <f>All!I30</f>
        <v>3000000</v>
      </c>
    </row>
    <row r="39">
      <c r="A39" s="28" t="str">
        <f>All!A74</f>
        <v>Learn XYZ</v>
      </c>
      <c r="B39" s="35" t="str">
        <f>All!B74</f>
        <v>$3m</v>
      </c>
      <c r="C39" s="28" t="str">
        <f>All!D74</f>
        <v>Teardown of Learn XYZ's $3m Seed deck</v>
      </c>
      <c r="D39" s="35" t="str">
        <f>All!C74</f>
        <v>Seed</v>
      </c>
      <c r="E39" s="47">
        <f>All!I74</f>
        <v>3000000</v>
      </c>
    </row>
    <row r="40">
      <c r="A40" s="28" t="str">
        <f>All!A88</f>
        <v>Ryplzz</v>
      </c>
      <c r="B40" s="35" t="str">
        <f>All!B88</f>
        <v>$3m</v>
      </c>
      <c r="C40" s="28" t="str">
        <f>All!D88</f>
        <v>Teardown of Ryplzz's $3m Seed deck</v>
      </c>
      <c r="D40" s="35" t="str">
        <f>All!C88</f>
        <v>Seed</v>
      </c>
      <c r="E40" s="47">
        <f>All!I88</f>
        <v>3000000</v>
      </c>
    </row>
    <row r="41">
      <c r="A41" s="28" t="str">
        <f>All!A105</f>
        <v>RAW Dating App</v>
      </c>
      <c r="B41" s="35" t="str">
        <f>All!B105</f>
        <v>$3m</v>
      </c>
      <c r="C41" s="28" t="str">
        <f>All!D105</f>
        <v>Teardown of RAW Dating App's $3m Angel deck</v>
      </c>
      <c r="D41" s="35" t="str">
        <f>All!C105</f>
        <v>Angel</v>
      </c>
      <c r="E41" s="47">
        <f>All!I105</f>
        <v>3000000</v>
      </c>
    </row>
    <row r="42">
      <c r="A42" s="28" t="str">
        <f>All!A85</f>
        <v>HomeCooks</v>
      </c>
      <c r="B42" s="35" t="str">
        <f>All!B85</f>
        <v>$3.2m</v>
      </c>
      <c r="C42" s="28" t="str">
        <f>All!D85</f>
        <v>Teardown of HomeCooks's $3.2m Seed deck</v>
      </c>
      <c r="D42" s="35" t="str">
        <f>All!C85</f>
        <v>Seed</v>
      </c>
      <c r="E42" s="47">
        <f>All!I85</f>
        <v>3200000</v>
      </c>
    </row>
    <row r="43">
      <c r="A43" s="28" t="str">
        <f>All!A44</f>
        <v>Spinach</v>
      </c>
      <c r="B43" s="35" t="str">
        <f>All!B44</f>
        <v>$3.5m</v>
      </c>
      <c r="C43" s="28" t="str">
        <f>All!D44</f>
        <v>Teardown of Spinach's $3.5m Seed deck</v>
      </c>
      <c r="D43" s="35" t="str">
        <f>All!C44</f>
        <v>Seed</v>
      </c>
      <c r="E43" s="47">
        <f>All!I44</f>
        <v>3500000</v>
      </c>
    </row>
    <row r="44">
      <c r="A44" s="28" t="str">
        <f>All!A107</f>
        <v>Feel Therapeutics</v>
      </c>
      <c r="B44" s="35" t="str">
        <f>All!B107</f>
        <v>$3.5m</v>
      </c>
      <c r="C44" s="28" t="str">
        <f>All!D107</f>
        <v>Teardown of Feel Therapeutics's $3.5m Seed deck</v>
      </c>
      <c r="D44" s="35" t="str">
        <f>All!C107</f>
        <v>Seed</v>
      </c>
      <c r="E44" s="47">
        <f>All!I107</f>
        <v>3500000</v>
      </c>
    </row>
    <row r="45">
      <c r="A45" s="28" t="str">
        <f>All!A96</f>
        <v>Protecto</v>
      </c>
      <c r="B45" s="35" t="str">
        <f>All!B96</f>
        <v>$4m</v>
      </c>
      <c r="C45" s="28" t="str">
        <f>All!D96</f>
        <v>Teardown of Protecto's $4m Seed deck</v>
      </c>
      <c r="D45" s="35" t="str">
        <f>All!C96</f>
        <v>Seed</v>
      </c>
      <c r="E45" s="47">
        <f>All!I96</f>
        <v>4000000</v>
      </c>
    </row>
    <row r="46">
      <c r="A46" s="28" t="str">
        <f>All!A95</f>
        <v>SuperScale</v>
      </c>
      <c r="B46" s="35" t="str">
        <f>All!B95</f>
        <v>$4.4m</v>
      </c>
      <c r="C46" s="28" t="str">
        <f>All!D95</f>
        <v>Teardown of SuperScale's $4.4m Series A deck</v>
      </c>
      <c r="D46" s="35" t="str">
        <f>All!C95</f>
        <v>Series A</v>
      </c>
      <c r="E46" s="47">
        <f>All!I95</f>
        <v>4400000</v>
      </c>
    </row>
    <row r="47">
      <c r="A47" s="28" t="str">
        <f>All!A93</f>
        <v>CommandBar</v>
      </c>
      <c r="B47" s="35" t="str">
        <f>All!B93</f>
        <v>$4.8m</v>
      </c>
      <c r="C47" s="28" t="str">
        <f>All!D93</f>
        <v>Teardown of CommandBar's $4.8m Seed deck</v>
      </c>
      <c r="D47" s="35" t="str">
        <f>All!C93</f>
        <v>Seed</v>
      </c>
      <c r="E47" s="47">
        <f>All!I93</f>
        <v>4800000</v>
      </c>
    </row>
    <row r="48">
      <c r="A48" s="28" t="str">
        <f>All!A10</f>
        <v>Momentum</v>
      </c>
      <c r="B48" s="35" t="str">
        <f>All!B10</f>
        <v>$5m</v>
      </c>
      <c r="C48" s="28" t="str">
        <f>All!D10</f>
        <v>Teardown of Momentum's $5m Seed deck</v>
      </c>
      <c r="D48" s="35" t="str">
        <f>All!C10</f>
        <v>Seed</v>
      </c>
      <c r="E48" s="47">
        <f>All!I10</f>
        <v>5000000</v>
      </c>
    </row>
    <row r="49">
      <c r="A49" s="28" t="str">
        <f>All!A65</f>
        <v>GoodBuy Gear</v>
      </c>
      <c r="B49" s="35" t="str">
        <f>All!B65</f>
        <v>$5m</v>
      </c>
      <c r="C49" s="28" t="str">
        <f>All!D65</f>
        <v>Teardown of GoodBuy Gear's $5m Series A Extension deck</v>
      </c>
      <c r="D49" s="35" t="str">
        <f>All!C65</f>
        <v>Series A Extension</v>
      </c>
      <c r="E49" s="47">
        <f>All!I65</f>
        <v>5000000</v>
      </c>
    </row>
    <row r="50">
      <c r="A50" s="28" t="str">
        <f>All!A57</f>
        <v>Fibery</v>
      </c>
      <c r="B50" s="35" t="str">
        <f>All!B57</f>
        <v>$5.2m</v>
      </c>
      <c r="C50" s="28" t="str">
        <f>All!D57</f>
        <v>Teardown of Fibery's $5.2m Series A deck</v>
      </c>
      <c r="D50" s="35" t="str">
        <f>All!C57</f>
        <v>Series A</v>
      </c>
      <c r="E50" s="47">
        <f>All!I57</f>
        <v>5200000</v>
      </c>
    </row>
    <row r="51">
      <c r="A51" s="28" t="str">
        <f>All!A103</f>
        <v>Goodcarbon</v>
      </c>
      <c r="B51" s="35" t="str">
        <f>All!B103</f>
        <v>$5.5m</v>
      </c>
      <c r="C51" s="28" t="str">
        <f>All!D103</f>
        <v>Teardown of Goodcarbon's $5.5m Seed deck</v>
      </c>
      <c r="D51" s="35" t="str">
        <f>All!C103</f>
        <v>Seed</v>
      </c>
      <c r="E51" s="47">
        <f>All!I103</f>
        <v>5500000</v>
      </c>
    </row>
    <row r="52">
      <c r="A52" s="28" t="str">
        <f>All!A86</f>
        <v>Pepper Bio</v>
      </c>
      <c r="B52" s="35" t="str">
        <f>All!B86</f>
        <v>$6.5m</v>
      </c>
      <c r="C52" s="28" t="str">
        <f>All!D86</f>
        <v>Teardown of Pepper Bio's $6.5m Seed deck</v>
      </c>
      <c r="D52" s="35" t="str">
        <f>All!C86</f>
        <v>Seed</v>
      </c>
      <c r="E52" s="47">
        <f>All!I86</f>
        <v>6500000</v>
      </c>
    </row>
    <row r="53">
      <c r="A53" s="28" t="str">
        <f>All!A18</f>
        <v>Wilco</v>
      </c>
      <c r="B53" s="35" t="str">
        <f>All!B18</f>
        <v>$7m</v>
      </c>
      <c r="C53" s="28" t="str">
        <f>All!D18</f>
        <v>Teardown of Wilco's $7m Seed deck</v>
      </c>
      <c r="D53" s="35" t="str">
        <f>All!C18</f>
        <v>Seed</v>
      </c>
      <c r="E53" s="47">
        <f>All!I18</f>
        <v>7000000</v>
      </c>
    </row>
    <row r="54">
      <c r="A54" s="28" t="str">
        <f>All!A29</f>
        <v>Party Round</v>
      </c>
      <c r="B54" s="35" t="str">
        <f>All!B29</f>
        <v>$7m</v>
      </c>
      <c r="C54" s="28" t="str">
        <f>All!D29</f>
        <v>Teardown of Party Round's $7m Angel deck</v>
      </c>
      <c r="D54" s="35" t="str">
        <f>All!C29</f>
        <v>Angel</v>
      </c>
      <c r="E54" s="47">
        <f>All!I29</f>
        <v>7000000</v>
      </c>
    </row>
    <row r="55">
      <c r="A55" s="28" t="str">
        <f>All!A66</f>
        <v>CleanHub</v>
      </c>
      <c r="B55" s="35" t="str">
        <f>All!B66</f>
        <v>$7m</v>
      </c>
      <c r="C55" s="28" t="str">
        <f>All!D66</f>
        <v>Teardown of CleanHub's $7m Seed deck</v>
      </c>
      <c r="D55" s="35" t="str">
        <f>All!C66</f>
        <v>Seed</v>
      </c>
      <c r="E55" s="47">
        <f>All!I66</f>
        <v>7000000</v>
      </c>
    </row>
    <row r="56">
      <c r="A56" s="28" t="str">
        <f>All!A71</f>
        <v>BusRight</v>
      </c>
      <c r="B56" s="35" t="str">
        <f>All!B71</f>
        <v>$7m</v>
      </c>
      <c r="C56" s="28" t="str">
        <f>All!D71</f>
        <v>Teardown of BusRight's $7m Series A deck</v>
      </c>
      <c r="D56" s="35" t="str">
        <f>All!C71</f>
        <v>Series A</v>
      </c>
      <c r="E56" s="47">
        <f>All!I71</f>
        <v>7000000</v>
      </c>
    </row>
    <row r="57">
      <c r="A57" s="28" t="str">
        <f>All!A104</f>
        <v>Terra One</v>
      </c>
      <c r="B57" s="35" t="str">
        <f>All!B104</f>
        <v>$7.5m</v>
      </c>
      <c r="C57" s="28" t="str">
        <f>All!D104</f>
        <v>Teardown of Terra One's $7.5m Seed deck</v>
      </c>
      <c r="D57" s="35" t="str">
        <f>All!C104</f>
        <v>Seed</v>
      </c>
      <c r="E57" s="47">
        <f>All!I104</f>
        <v>7500000</v>
      </c>
    </row>
    <row r="58">
      <c r="A58" s="28" t="str">
        <f>All!A55</f>
        <v>Careerist</v>
      </c>
      <c r="B58" s="35" t="str">
        <f>All!B55</f>
        <v>$8m</v>
      </c>
      <c r="C58" s="28" t="str">
        <f>All!D55</f>
        <v>Teardown of Careerist's $8m Series A deck</v>
      </c>
      <c r="D58" s="35" t="str">
        <f>All!C55</f>
        <v>Series A</v>
      </c>
      <c r="E58" s="47">
        <f>All!I55</f>
        <v>8000000</v>
      </c>
    </row>
    <row r="59">
      <c r="A59" s="28" t="str">
        <f>All!A64</f>
        <v>Nokod Security</v>
      </c>
      <c r="B59" s="35" t="str">
        <f>All!B64</f>
        <v>$8m</v>
      </c>
      <c r="C59" s="28" t="str">
        <f>All!D64</f>
        <v>Teardown of Nokod Security's $8m Seed deck</v>
      </c>
      <c r="D59" s="35" t="str">
        <f>All!C64</f>
        <v>Seed</v>
      </c>
      <c r="E59" s="47">
        <f>All!I64</f>
        <v>8000000</v>
      </c>
    </row>
    <row r="60">
      <c r="A60" s="28" t="str">
        <f>All!A84</f>
        <v>Metafuels</v>
      </c>
      <c r="B60" s="35" t="str">
        <f>All!B84</f>
        <v>$8m</v>
      </c>
      <c r="C60" s="28" t="str">
        <f>All!D84</f>
        <v>Teardown of Metafuels's $8m Seed deck</v>
      </c>
      <c r="D60" s="35" t="str">
        <f>All!C84</f>
        <v>Seed</v>
      </c>
      <c r="E60" s="47">
        <f>All!I84</f>
        <v>8000000</v>
      </c>
    </row>
    <row r="61">
      <c r="A61" s="28" t="str">
        <f>All!A77</f>
        <v>Lupiya</v>
      </c>
      <c r="B61" s="35" t="str">
        <f>All!B77</f>
        <v>$8.3m</v>
      </c>
      <c r="C61" s="28" t="str">
        <f>All!D77</f>
        <v>Teardown of Lupiya's $8.3m Series A deck</v>
      </c>
      <c r="D61" s="35" t="str">
        <f>All!C77</f>
        <v>Series A</v>
      </c>
      <c r="E61" s="47">
        <f>All!I77</f>
        <v>8300000</v>
      </c>
    </row>
    <row r="62">
      <c r="A62" s="28" t="str">
        <f>All!A21</f>
        <v>Arkive</v>
      </c>
      <c r="B62" s="35" t="str">
        <f>All!B21</f>
        <v>$9.7m</v>
      </c>
      <c r="C62" s="28" t="str">
        <f>All!D21</f>
        <v>Teardown of Arkive's $9.7m Seed deck</v>
      </c>
      <c r="D62" s="35" t="str">
        <f>All!C21</f>
        <v>Seed</v>
      </c>
      <c r="E62" s="47">
        <f>All!I21</f>
        <v>9700000</v>
      </c>
    </row>
    <row r="63">
      <c r="A63" s="28" t="str">
        <f>All!A28</f>
        <v>Helu</v>
      </c>
      <c r="B63" s="35" t="str">
        <f>All!B28</f>
        <v>$9.8m</v>
      </c>
      <c r="C63" s="28" t="str">
        <f>All!D28</f>
        <v>Teardown of Helu's $9.8m Series A deck</v>
      </c>
      <c r="D63" s="35" t="str">
        <f>All!C28</f>
        <v>Series A</v>
      </c>
      <c r="E63" s="47">
        <f>All!I28</f>
        <v>9800000</v>
      </c>
    </row>
    <row r="64">
      <c r="A64" s="28" t="str">
        <f>All!A31</f>
        <v>Vori</v>
      </c>
      <c r="B64" s="35" t="str">
        <f>All!B31</f>
        <v>$10m</v>
      </c>
      <c r="C64" s="28" t="str">
        <f>All!D31</f>
        <v>Teardown of Vori's $10m Series A deck</v>
      </c>
      <c r="D64" s="35" t="str">
        <f>All!C31</f>
        <v>Series A</v>
      </c>
      <c r="E64" s="47">
        <f>All!I31</f>
        <v>10000000</v>
      </c>
    </row>
    <row r="65">
      <c r="A65" s="28" t="str">
        <f>All!A38</f>
        <v>Rootine</v>
      </c>
      <c r="B65" s="35" t="str">
        <f>All!B38</f>
        <v>$10m</v>
      </c>
      <c r="C65" s="28" t="str">
        <f>All!D38</f>
        <v>Teardown of Rootine's $10m Series A deck</v>
      </c>
      <c r="D65" s="35" t="str">
        <f>All!C38</f>
        <v>Series A</v>
      </c>
      <c r="E65" s="47">
        <f>All!I38</f>
        <v>10000000</v>
      </c>
    </row>
    <row r="66">
      <c r="A66" s="28" t="str">
        <f>All!A59</f>
        <v>Faye</v>
      </c>
      <c r="B66" s="35" t="str">
        <f>All!B59</f>
        <v>$10m</v>
      </c>
      <c r="C66" s="28" t="str">
        <f>All!D59</f>
        <v>Teardown of Faye's $10m Series A deck</v>
      </c>
      <c r="D66" s="35" t="str">
        <f>All!C59</f>
        <v>Series A</v>
      </c>
      <c r="E66" s="47">
        <f>All!I59</f>
        <v>10000000</v>
      </c>
    </row>
    <row r="67">
      <c r="A67" s="28" t="str">
        <f>All!A73</f>
        <v>Tomorrow University of Applied Sciences</v>
      </c>
      <c r="B67" s="35" t="str">
        <f>All!B73</f>
        <v>$10m</v>
      </c>
      <c r="C67" s="28" t="str">
        <f>All!D73</f>
        <v>Teardown of Tomorrow University of Applied Sciences's $10m Series A deck</v>
      </c>
      <c r="D67" s="35" t="str">
        <f>All!C73</f>
        <v>Series A</v>
      </c>
      <c r="E67" s="47">
        <f>All!I73</f>
        <v>10000000</v>
      </c>
    </row>
    <row r="68">
      <c r="A68" s="28" t="str">
        <f>All!A76</f>
        <v>point me</v>
      </c>
      <c r="B68" s="35" t="str">
        <f>All!B76</f>
        <v>$10m</v>
      </c>
      <c r="C68" s="28" t="str">
        <f>All!D76</f>
        <v>Teardown of point me's $10m Series A deck</v>
      </c>
      <c r="D68" s="35" t="str">
        <f>All!C76</f>
        <v>Series A</v>
      </c>
      <c r="E68" s="47">
        <f>All!I76</f>
        <v>10000000</v>
      </c>
    </row>
    <row r="69">
      <c r="A69" s="28" t="str">
        <f>All!A80</f>
        <v>CancerVAX</v>
      </c>
      <c r="B69" s="35" t="str">
        <f>All!B80</f>
        <v>$10m</v>
      </c>
      <c r="C69" s="28" t="str">
        <f>All!D80</f>
        <v>Teardown of CancerVAX's $10m Crowdfunding deck</v>
      </c>
      <c r="D69" s="35" t="str">
        <f>All!C80</f>
        <v>Crowdfunding</v>
      </c>
      <c r="E69" s="47">
        <f>All!I80</f>
        <v>10000000</v>
      </c>
    </row>
    <row r="70">
      <c r="A70" s="28" t="str">
        <f>All!A87</f>
        <v>Qortex</v>
      </c>
      <c r="B70" s="35" t="str">
        <f>All!B87</f>
        <v>$10m</v>
      </c>
      <c r="C70" s="28" t="str">
        <f>All!D87</f>
        <v>Teardown of Qortex's $10m Seed deck</v>
      </c>
      <c r="D70" s="35" t="str">
        <f>All!C87</f>
        <v>Seed</v>
      </c>
      <c r="E70" s="47">
        <f>All!I87</f>
        <v>10000000</v>
      </c>
    </row>
    <row r="71">
      <c r="A71" s="28" t="str">
        <f>All!A81</f>
        <v>Phospholutions</v>
      </c>
      <c r="B71" s="35" t="str">
        <f>All!B81</f>
        <v>$10.15m</v>
      </c>
      <c r="C71" s="28" t="str">
        <f>All!D81</f>
        <v>Teardown of Phospholutions's $10.15m Series A extension deck</v>
      </c>
      <c r="D71" s="35" t="str">
        <f>All!C81</f>
        <v>Series A extension</v>
      </c>
      <c r="E71" s="47">
        <f>All!I81</f>
        <v>10150000</v>
      </c>
    </row>
    <row r="72">
      <c r="A72" s="28" t="str">
        <f>All!A90</f>
        <v>PhageLab</v>
      </c>
      <c r="B72" s="35" t="str">
        <f>All!B90</f>
        <v>$11m</v>
      </c>
      <c r="C72" s="28" t="str">
        <f>All!D90</f>
        <v>Teardown of PhageLab's $11m Series A deck</v>
      </c>
      <c r="D72" s="35" t="str">
        <f>All!C90</f>
        <v>Series A</v>
      </c>
      <c r="E72" s="47">
        <f>All!I90</f>
        <v>11000000</v>
      </c>
    </row>
    <row r="73">
      <c r="A73" s="28" t="str">
        <f>All!A35</f>
        <v>Sateliot</v>
      </c>
      <c r="B73" s="35" t="str">
        <f>All!B35</f>
        <v>$11.4m</v>
      </c>
      <c r="C73" s="28" t="str">
        <f>All!D35</f>
        <v>Teardown of Sateliot's $11.4m Series A deck</v>
      </c>
      <c r="D73" s="35" t="str">
        <f>All!C35</f>
        <v>Series A</v>
      </c>
      <c r="E73" s="47">
        <f>All!I35</f>
        <v>11400000</v>
      </c>
    </row>
    <row r="74">
      <c r="A74" s="28" t="str">
        <f>All!A9</f>
        <v>Minut</v>
      </c>
      <c r="B74" s="35" t="str">
        <f>All!B9</f>
        <v>$15m</v>
      </c>
      <c r="C74" s="28" t="str">
        <f>All!D9</f>
        <v>Teardown of Minut's $15m Series B deck</v>
      </c>
      <c r="D74" s="35" t="str">
        <f>All!C9</f>
        <v>Series B</v>
      </c>
      <c r="E74" s="47">
        <f>All!I9</f>
        <v>15000000</v>
      </c>
    </row>
    <row r="75">
      <c r="A75" s="28" t="str">
        <f>All!A102</f>
        <v>Cloudsmith</v>
      </c>
      <c r="B75" s="35" t="str">
        <f>All!B102</f>
        <v>$15m</v>
      </c>
      <c r="C75" s="28" t="str">
        <f>All!D102</f>
        <v>Teardown of Cloudsmith's $15m Series A deck</v>
      </c>
      <c r="D75" s="35" t="str">
        <f>All!C102</f>
        <v>Series A</v>
      </c>
      <c r="E75" s="47">
        <f>All!I102</f>
        <v>15000000</v>
      </c>
    </row>
    <row r="76">
      <c r="A76" s="28" t="str">
        <f>All!A47</f>
        <v>Gable</v>
      </c>
      <c r="B76" s="35" t="str">
        <f>All!B47</f>
        <v>$16m</v>
      </c>
      <c r="C76" s="28" t="str">
        <f>All!D47</f>
        <v>Teardown of Gable's $16m Series A deck</v>
      </c>
      <c r="D76" s="35" t="str">
        <f>All!C47</f>
        <v>Series A</v>
      </c>
      <c r="E76" s="47">
        <f>All!I47</f>
        <v>16000000</v>
      </c>
    </row>
    <row r="77">
      <c r="A77" s="28" t="str">
        <f>All!A92</f>
        <v>Equals</v>
      </c>
      <c r="B77" s="35" t="str">
        <f>All!B92</f>
        <v>$16m</v>
      </c>
      <c r="C77" s="28" t="str">
        <f>All!D92</f>
        <v>Teardown of Equals's $16m Series A deck</v>
      </c>
      <c r="D77" s="35" t="str">
        <f>All!C92</f>
        <v>Series A</v>
      </c>
      <c r="E77" s="47">
        <f>All!I92</f>
        <v>16000000</v>
      </c>
    </row>
    <row r="78">
      <c r="A78" s="28" t="str">
        <f>All!A52</f>
        <v>Smalls</v>
      </c>
      <c r="B78" s="35" t="str">
        <f>All!B52</f>
        <v>$19m</v>
      </c>
      <c r="C78" s="28" t="str">
        <f>All!D52</f>
        <v>Teardown of Smalls's $19m Series B deck</v>
      </c>
      <c r="D78" s="35" t="str">
        <f>All!C52</f>
        <v>Series B</v>
      </c>
      <c r="E78" s="47">
        <f>All!I52</f>
        <v>19000000</v>
      </c>
    </row>
    <row r="79">
      <c r="A79" s="28" t="str">
        <f>All!A11</f>
        <v>Dutch</v>
      </c>
      <c r="B79" s="35" t="str">
        <f>All!B11</f>
        <v>$20m</v>
      </c>
      <c r="C79" s="28" t="str">
        <f>All!D11</f>
        <v>Teardown of Dutch's $20m Series A deck</v>
      </c>
      <c r="D79" s="35" t="str">
        <f>All!C11</f>
        <v>Series A</v>
      </c>
      <c r="E79" s="47">
        <f>All!I11</f>
        <v>20000000</v>
      </c>
    </row>
    <row r="80">
      <c r="A80" s="28" t="str">
        <f>All!A37</f>
        <v>Hour One</v>
      </c>
      <c r="B80" s="35" t="str">
        <f>All!B37</f>
        <v>$20m</v>
      </c>
      <c r="C80" s="28" t="str">
        <f>All!D37</f>
        <v>Teardown of Hour One's $20m Series A deck</v>
      </c>
      <c r="D80" s="35" t="str">
        <f>All!C37</f>
        <v>Series A</v>
      </c>
      <c r="E80" s="47">
        <f>All!I37</f>
        <v>20000000</v>
      </c>
    </row>
    <row r="81">
      <c r="A81" s="28" t="str">
        <f>All!A67</f>
        <v>Unito</v>
      </c>
      <c r="B81" s="35" t="str">
        <f>All!B67</f>
        <v>$20m</v>
      </c>
      <c r="C81" s="28" t="str">
        <f>All!D67</f>
        <v>Teardown of Unito's $20m Series B deck</v>
      </c>
      <c r="D81" s="35" t="str">
        <f>All!C67</f>
        <v>Series B</v>
      </c>
      <c r="E81" s="47">
        <f>All!I67</f>
        <v>20000000</v>
      </c>
    </row>
    <row r="82">
      <c r="A82" s="28" t="str">
        <f>All!A75</f>
        <v>Transcend</v>
      </c>
      <c r="B82" s="35" t="str">
        <f>All!B75</f>
        <v>$20m</v>
      </c>
      <c r="C82" s="28" t="str">
        <f>All!D75</f>
        <v>Teardown of Transcend's $20m Series B deck</v>
      </c>
      <c r="D82" s="35" t="str">
        <f>All!C75</f>
        <v>Series B</v>
      </c>
      <c r="E82" s="47">
        <f>All!I75</f>
        <v>20000000</v>
      </c>
    </row>
    <row r="83">
      <c r="A83" s="28" t="str">
        <f>All!A36</f>
        <v>Juro</v>
      </c>
      <c r="B83" s="35" t="str">
        <f>All!B36</f>
        <v>$23m</v>
      </c>
      <c r="C83" s="28" t="str">
        <f>All!D36</f>
        <v>Teardown of Juro's $23m Series B deck</v>
      </c>
      <c r="D83" s="35" t="str">
        <f>All!C36</f>
        <v>Series B</v>
      </c>
      <c r="E83" s="47">
        <f>All!I36</f>
        <v>23000000</v>
      </c>
    </row>
    <row r="84">
      <c r="A84" s="28" t="str">
        <f>All!A26</f>
        <v>SIMBA Chain</v>
      </c>
      <c r="B84" s="35" t="str">
        <f>All!B26</f>
        <v>$25m</v>
      </c>
      <c r="C84" s="28" t="str">
        <f>All!D26</f>
        <v>Teardown of SIMBA Chain's $25m Series A deck</v>
      </c>
      <c r="D84" s="35" t="str">
        <f>All!C26</f>
        <v>Series A</v>
      </c>
      <c r="E84" s="47">
        <f>All!I26</f>
        <v>25000000</v>
      </c>
    </row>
    <row r="85">
      <c r="A85" s="28" t="str">
        <f>All!A39</f>
        <v>MedCrypt</v>
      </c>
      <c r="B85" s="35" t="str">
        <f>All!B39</f>
        <v>$25m</v>
      </c>
      <c r="C85" s="28" t="str">
        <f>All!D39</f>
        <v>Teardown of MedCrypt's $25m Series B deck</v>
      </c>
      <c r="D85" s="35" t="str">
        <f>All!C39</f>
        <v>Series B</v>
      </c>
      <c r="E85" s="47">
        <f>All!I39</f>
        <v>25000000</v>
      </c>
    </row>
    <row r="86">
      <c r="A86" s="28" t="str">
        <f>All!A51</f>
        <v>Northspyre</v>
      </c>
      <c r="B86" s="35" t="str">
        <f>All!B51</f>
        <v>$25m</v>
      </c>
      <c r="C86" s="28" t="str">
        <f>All!D51</f>
        <v>Teardown of Northspyre's $25m Series B deck</v>
      </c>
      <c r="D86" s="35" t="str">
        <f>All!C51</f>
        <v>Series B</v>
      </c>
      <c r="E86" s="47">
        <f>All!I51</f>
        <v>25000000</v>
      </c>
    </row>
    <row r="87">
      <c r="A87" s="28" t="str">
        <f>All!A13</f>
        <v>Lumigo</v>
      </c>
      <c r="B87" s="35" t="str">
        <f>All!B13</f>
        <v>$29m</v>
      </c>
      <c r="C87" s="28" t="str">
        <f>All!D13</f>
        <v>Teardown of Lumigo's $29m Series A deck</v>
      </c>
      <c r="D87" s="35" t="str">
        <f>All!C13</f>
        <v>Series A</v>
      </c>
      <c r="E87" s="47">
        <f>All!I13</f>
        <v>29000000</v>
      </c>
    </row>
    <row r="88">
      <c r="A88" s="28" t="str">
        <f>All!A53</f>
        <v>Diamond Standard</v>
      </c>
      <c r="B88" s="35" t="str">
        <f>All!B53</f>
        <v>$30m</v>
      </c>
      <c r="C88" s="28" t="str">
        <f>All!D53</f>
        <v>Teardown of Diamond Standard's $30m Series A deck</v>
      </c>
      <c r="D88" s="35" t="str">
        <f>All!C53</f>
        <v>Series A</v>
      </c>
      <c r="E88" s="47">
        <f>All!I53</f>
        <v>30000000</v>
      </c>
    </row>
    <row r="89">
      <c r="A89" s="28" t="str">
        <f>All!A91</f>
        <v>Xyte</v>
      </c>
      <c r="B89" s="35" t="str">
        <f>All!B91</f>
        <v>$30m</v>
      </c>
      <c r="C89" s="28" t="str">
        <f>All!D91</f>
        <v>Teardown of Xyte's $30m Series A deck</v>
      </c>
      <c r="D89" s="35" t="str">
        <f>All!C91</f>
        <v>Series A</v>
      </c>
      <c r="E89" s="47">
        <f>All!I91</f>
        <v>30000000</v>
      </c>
    </row>
    <row r="90">
      <c r="A90" s="28" t="str">
        <f>All!A58</f>
        <v>Ageras</v>
      </c>
      <c r="B90" s="35" t="str">
        <f>All!B58</f>
        <v>$36m</v>
      </c>
      <c r="C90" s="28" t="str">
        <f>All!D58</f>
        <v>Teardown of Ageras's $36m Private Equity deck</v>
      </c>
      <c r="D90" s="35" t="str">
        <f>All!C58</f>
        <v>Private Equity</v>
      </c>
      <c r="E90" s="47">
        <f>All!I58</f>
        <v>36000000</v>
      </c>
    </row>
    <row r="91">
      <c r="A91" s="28" t="str">
        <f>All!A16</f>
        <v>Ergeon</v>
      </c>
      <c r="B91" s="35" t="str">
        <f>All!B16</f>
        <v>$40m</v>
      </c>
      <c r="C91" s="28" t="str">
        <f>All!D16</f>
        <v>Teardown of Ergeon's $40m Series B deck</v>
      </c>
      <c r="D91" s="35" t="str">
        <f>All!C16</f>
        <v>Series B</v>
      </c>
      <c r="E91" s="47">
        <f>All!I16</f>
        <v>40000000</v>
      </c>
    </row>
    <row r="92">
      <c r="A92" s="28" t="str">
        <f>All!A99</f>
        <v>Xpanceo</v>
      </c>
      <c r="B92" s="35" t="str">
        <f>All!B99</f>
        <v>$40m</v>
      </c>
      <c r="C92" s="28" t="str">
        <f>All!D99</f>
        <v>Teardown of Xpanceo's $40m Seed deck</v>
      </c>
      <c r="D92" s="35" t="str">
        <f>All!C99</f>
        <v>Seed</v>
      </c>
      <c r="E92" s="47">
        <f>All!I99</f>
        <v>40000000</v>
      </c>
    </row>
    <row r="93">
      <c r="A93" s="28" t="str">
        <f>All!A49</f>
        <v>StudentFinance</v>
      </c>
      <c r="B93" s="35" t="str">
        <f>All!B49</f>
        <v>$41m</v>
      </c>
      <c r="C93" s="28" t="str">
        <f>All!D49</f>
        <v>Teardown of StudentFinance's $41m Series A deck</v>
      </c>
      <c r="D93" s="35" t="str">
        <f>All!C49</f>
        <v>Series A</v>
      </c>
      <c r="E93" s="47">
        <f>All!I49</f>
        <v>41000000</v>
      </c>
    </row>
    <row r="94">
      <c r="A94" s="28" t="str">
        <f>All!A79</f>
        <v>Aether</v>
      </c>
      <c r="B94" s="35" t="str">
        <f>All!B79</f>
        <v>$49m</v>
      </c>
      <c r="C94" s="28" t="str">
        <f>All!D79</f>
        <v>Teardown of Aether's $49m Series A deck</v>
      </c>
      <c r="D94" s="35" t="str">
        <f>All!C79</f>
        <v>Series A</v>
      </c>
      <c r="E94" s="47">
        <f>All!I79</f>
        <v>49000000</v>
      </c>
    </row>
    <row r="95">
      <c r="A95" s="28" t="str">
        <f>All!A15</f>
        <v>Lunchbox</v>
      </c>
      <c r="B95" s="35" t="str">
        <f>All!B15</f>
        <v>$50m</v>
      </c>
      <c r="C95" s="28" t="str">
        <f>All!D15</f>
        <v>Teardown of Lunchbox's $50m Series B deck</v>
      </c>
      <c r="D95" s="35" t="str">
        <f>All!C15</f>
        <v>Series B</v>
      </c>
      <c r="E95" s="47">
        <f>All!I15</f>
        <v>50000000</v>
      </c>
    </row>
    <row r="96">
      <c r="A96" s="28" t="str">
        <f>All!A54</f>
        <v>Honeycomb </v>
      </c>
      <c r="B96" s="35" t="str">
        <f>All!B54</f>
        <v>$50m</v>
      </c>
      <c r="C96" s="28" t="str">
        <f>All!D54</f>
        <v>Teardown of Honeycomb 's $50m Series D deck</v>
      </c>
      <c r="D96" s="35" t="str">
        <f>All!C54</f>
        <v>Series D</v>
      </c>
      <c r="E96" s="47">
        <f>All!I54</f>
        <v>50000000</v>
      </c>
    </row>
    <row r="97">
      <c r="A97" s="28" t="str">
        <f>All!A69</f>
        <v>ANYbotics AG</v>
      </c>
      <c r="B97" s="35" t="str">
        <f>All!B69</f>
        <v>$50m</v>
      </c>
      <c r="C97" s="28" t="str">
        <f>All!D69</f>
        <v>Teardown of ANYbotics AG's $50m Series B deck</v>
      </c>
      <c r="D97" s="35" t="str">
        <f>All!C69</f>
        <v>Series B</v>
      </c>
      <c r="E97" s="47">
        <f>All!I69</f>
        <v>50000000</v>
      </c>
    </row>
    <row r="98">
      <c r="A98" s="28" t="str">
        <f>All!A63</f>
        <v>Super </v>
      </c>
      <c r="B98" s="35" t="str">
        <f>All!B63</f>
        <v>$60m</v>
      </c>
      <c r="C98" s="28" t="str">
        <f>All!D63</f>
        <v>Teardown of Super 's $60m Series C deck</v>
      </c>
      <c r="D98" s="35" t="str">
        <f>All!C63</f>
        <v>Series C</v>
      </c>
      <c r="E98" s="47">
        <f>All!I63</f>
        <v>60000000</v>
      </c>
    </row>
    <row r="99">
      <c r="A99" s="28" t="str">
        <f>All!A20</f>
        <v>Forethought</v>
      </c>
      <c r="B99" s="35" t="str">
        <f>All!B20</f>
        <v>$65m</v>
      </c>
      <c r="C99" s="28" t="str">
        <f>All!D20</f>
        <v>Teardown of Forethought's $65m Series C deck</v>
      </c>
      <c r="D99" s="35" t="str">
        <f>All!C20</f>
        <v>Series C</v>
      </c>
      <c r="E99" s="47">
        <f>All!I20</f>
        <v>65000000</v>
      </c>
    </row>
    <row r="100">
      <c r="A100" s="28" t="str">
        <f>All!A27</f>
        <v>Front</v>
      </c>
      <c r="B100" s="35" t="str">
        <f>All!B27</f>
        <v>$65m</v>
      </c>
      <c r="C100" s="28" t="str">
        <f>All!D27</f>
        <v>Teardown of Front's $65m Series D deck</v>
      </c>
      <c r="D100" s="35" t="str">
        <f>All!C27</f>
        <v>Series D</v>
      </c>
      <c r="E100" s="47">
        <f>All!I27</f>
        <v>65000000</v>
      </c>
    </row>
    <row r="101">
      <c r="A101" s="28" t="str">
        <f>All!A17</f>
        <v>WayRay</v>
      </c>
      <c r="B101" s="35" t="str">
        <f>All!B17</f>
        <v>$80m</v>
      </c>
      <c r="C101" s="28" t="str">
        <f>All!D17</f>
        <v>Teardown of WayRay's $80m Series E deck</v>
      </c>
      <c r="D101" s="35" t="str">
        <f>All!C17</f>
        <v>Series E</v>
      </c>
      <c r="E101" s="47">
        <f>All!I17</f>
        <v>80000000</v>
      </c>
    </row>
    <row r="102">
      <c r="A102" s="28" t="str">
        <f>All!A22</f>
        <v>Alto Pharmacy</v>
      </c>
      <c r="B102" s="35" t="str">
        <f>All!B22</f>
        <v>$200m</v>
      </c>
      <c r="C102" s="28" t="str">
        <f>All!D22</f>
        <v>Teardown of Alto Pharmacy's $200m Series E deck</v>
      </c>
      <c r="D102" s="35" t="str">
        <f>All!C22</f>
        <v>Series E</v>
      </c>
      <c r="E102" s="47">
        <f>All!I22</f>
        <v>200000000</v>
      </c>
    </row>
    <row r="103">
      <c r="A103" s="35" t="str">
        <f>All!A109</f>
        <v/>
      </c>
      <c r="B103" s="35" t="str">
        <f>All!B109</f>
        <v/>
      </c>
      <c r="C103" s="35" t="str">
        <f>All!D109</f>
        <v/>
      </c>
      <c r="D103" s="35" t="str">
        <f>All!C109</f>
        <v/>
      </c>
      <c r="E103" s="47" t="str">
        <f>All!I109</f>
        <v/>
      </c>
    </row>
    <row r="104">
      <c r="A104" s="35" t="str">
        <f>All!A110</f>
        <v/>
      </c>
      <c r="B104" s="35" t="str">
        <f>All!B110</f>
        <v/>
      </c>
      <c r="C104" s="35" t="str">
        <f>All!D110</f>
        <v/>
      </c>
      <c r="D104" s="35" t="str">
        <f>All!C110</f>
        <v/>
      </c>
      <c r="E104" s="47" t="str">
        <f>All!I110</f>
        <v/>
      </c>
    </row>
    <row r="105">
      <c r="A105" s="35" t="str">
        <f>All!A111</f>
        <v/>
      </c>
      <c r="B105" s="35" t="str">
        <f>All!B111</f>
        <v/>
      </c>
      <c r="C105" s="35" t="str">
        <f>All!D111</f>
        <v/>
      </c>
      <c r="D105" s="35" t="str">
        <f>All!C111</f>
        <v/>
      </c>
      <c r="E105" s="47" t="str">
        <f>All!I111</f>
        <v/>
      </c>
    </row>
    <row r="106">
      <c r="A106" s="35" t="str">
        <f>All!A112</f>
        <v/>
      </c>
      <c r="B106" s="35" t="str">
        <f>All!B112</f>
        <v/>
      </c>
      <c r="C106" s="35" t="str">
        <f>All!D112</f>
        <v/>
      </c>
      <c r="D106" s="35" t="str">
        <f>All!C112</f>
        <v/>
      </c>
      <c r="E106" s="47" t="str">
        <f>All!I112</f>
        <v/>
      </c>
    </row>
    <row r="107">
      <c r="A107" s="35" t="str">
        <f>All!A113</f>
        <v/>
      </c>
      <c r="B107" s="35" t="str">
        <f>All!B113</f>
        <v/>
      </c>
      <c r="C107" s="35" t="str">
        <f>All!D113</f>
        <v/>
      </c>
      <c r="D107" s="35" t="str">
        <f>All!C113</f>
        <v/>
      </c>
      <c r="E107" s="47" t="str">
        <f>All!I113</f>
        <v/>
      </c>
    </row>
    <row r="108">
      <c r="A108" s="35" t="str">
        <f>All!A114</f>
        <v/>
      </c>
      <c r="B108" s="35" t="str">
        <f>All!B114</f>
        <v/>
      </c>
      <c r="C108" s="35" t="str">
        <f>All!D114</f>
        <v/>
      </c>
      <c r="D108" s="35" t="str">
        <f>All!C114</f>
        <v/>
      </c>
      <c r="E108" s="47" t="str">
        <f>All!I114</f>
        <v/>
      </c>
    </row>
    <row r="109">
      <c r="A109" s="35" t="str">
        <f>All!A115</f>
        <v/>
      </c>
      <c r="B109" s="35" t="str">
        <f>All!B115</f>
        <v/>
      </c>
      <c r="C109" s="35" t="str">
        <f>All!D115</f>
        <v/>
      </c>
      <c r="D109" s="35" t="str">
        <f>All!C115</f>
        <v/>
      </c>
      <c r="E109" s="47" t="str">
        <f>All!I115</f>
        <v/>
      </c>
    </row>
    <row r="110">
      <c r="A110" s="35" t="str">
        <f>All!A116</f>
        <v/>
      </c>
      <c r="B110" s="35" t="str">
        <f>All!B116</f>
        <v/>
      </c>
      <c r="C110" s="35" t="str">
        <f>All!D116</f>
        <v/>
      </c>
      <c r="D110" s="35" t="str">
        <f>All!C116</f>
        <v/>
      </c>
      <c r="E110" s="47" t="str">
        <f>All!I116</f>
        <v/>
      </c>
    </row>
    <row r="111">
      <c r="A111" s="35" t="str">
        <f>All!A117</f>
        <v/>
      </c>
      <c r="B111" s="35" t="str">
        <f>All!B117</f>
        <v/>
      </c>
      <c r="C111" s="35" t="str">
        <f>All!D117</f>
        <v/>
      </c>
      <c r="D111" s="35" t="str">
        <f>All!C117</f>
        <v/>
      </c>
      <c r="E111" s="47" t="str">
        <f>All!I117</f>
        <v/>
      </c>
    </row>
    <row r="112">
      <c r="A112" s="35" t="str">
        <f>All!A118</f>
        <v/>
      </c>
      <c r="B112" s="35" t="str">
        <f>All!B118</f>
        <v/>
      </c>
      <c r="C112" s="35" t="str">
        <f>All!D118</f>
        <v/>
      </c>
      <c r="D112" s="35" t="str">
        <f>All!C118</f>
        <v/>
      </c>
      <c r="E112" s="47" t="str">
        <f>All!I118</f>
        <v/>
      </c>
    </row>
    <row r="113">
      <c r="A113" s="35" t="str">
        <f>All!A119</f>
        <v/>
      </c>
      <c r="B113" s="35" t="str">
        <f>All!B119</f>
        <v/>
      </c>
      <c r="C113" s="35" t="str">
        <f>All!D119</f>
        <v/>
      </c>
      <c r="D113" s="35" t="str">
        <f>All!C119</f>
        <v/>
      </c>
      <c r="E113" s="47" t="str">
        <f>All!I119</f>
        <v/>
      </c>
    </row>
    <row r="114">
      <c r="A114" s="35" t="str">
        <f>All!A120</f>
        <v/>
      </c>
      <c r="B114" s="35" t="str">
        <f>All!B120</f>
        <v/>
      </c>
      <c r="C114" s="35" t="str">
        <f>All!D120</f>
        <v/>
      </c>
      <c r="D114" s="35" t="str">
        <f>All!C120</f>
        <v/>
      </c>
      <c r="E114" s="47" t="str">
        <f>All!I120</f>
        <v/>
      </c>
    </row>
    <row r="115">
      <c r="A115" s="35" t="str">
        <f>All!A121</f>
        <v/>
      </c>
      <c r="B115" s="35" t="str">
        <f>All!B121</f>
        <v/>
      </c>
      <c r="C115" s="35" t="str">
        <f>All!D121</f>
        <v/>
      </c>
      <c r="D115" s="35" t="str">
        <f>All!C121</f>
        <v/>
      </c>
      <c r="E115" s="47" t="str">
        <f>All!I121</f>
        <v/>
      </c>
    </row>
    <row r="116">
      <c r="A116" s="35" t="str">
        <f>All!A122</f>
        <v/>
      </c>
      <c r="B116" s="35" t="str">
        <f>All!B122</f>
        <v/>
      </c>
      <c r="C116" s="35" t="str">
        <f>All!D122</f>
        <v/>
      </c>
      <c r="D116" s="35" t="str">
        <f>All!C122</f>
        <v/>
      </c>
      <c r="E116" s="47" t="str">
        <f>All!I122</f>
        <v/>
      </c>
    </row>
    <row r="117">
      <c r="A117" s="35" t="str">
        <f>All!A123</f>
        <v/>
      </c>
      <c r="B117" s="35" t="str">
        <f>All!B123</f>
        <v/>
      </c>
      <c r="C117" s="35" t="str">
        <f>All!D123</f>
        <v/>
      </c>
      <c r="D117" s="35" t="str">
        <f>All!C123</f>
        <v/>
      </c>
      <c r="E117" s="47" t="str">
        <f>All!I123</f>
        <v/>
      </c>
    </row>
    <row r="118">
      <c r="A118" s="35" t="str">
        <f>All!A124</f>
        <v/>
      </c>
      <c r="B118" s="35" t="str">
        <f>All!B124</f>
        <v/>
      </c>
      <c r="C118" s="35" t="str">
        <f>All!D124</f>
        <v/>
      </c>
      <c r="D118" s="35" t="str">
        <f>All!C124</f>
        <v/>
      </c>
      <c r="E118" s="47" t="str">
        <f>All!I124</f>
        <v/>
      </c>
    </row>
    <row r="119">
      <c r="A119" s="35" t="str">
        <f>All!A125</f>
        <v/>
      </c>
      <c r="B119" s="35" t="str">
        <f>All!B125</f>
        <v/>
      </c>
      <c r="C119" s="35" t="str">
        <f>All!D125</f>
        <v/>
      </c>
      <c r="D119" s="35" t="str">
        <f>All!C125</f>
        <v/>
      </c>
      <c r="E119" s="47" t="str">
        <f>All!I125</f>
        <v/>
      </c>
    </row>
    <row r="120">
      <c r="A120" s="35" t="str">
        <f>All!A126</f>
        <v/>
      </c>
      <c r="B120" s="35" t="str">
        <f>All!B126</f>
        <v/>
      </c>
      <c r="C120" s="35" t="str">
        <f>All!D126</f>
        <v/>
      </c>
      <c r="D120" s="35" t="str">
        <f>All!C126</f>
        <v/>
      </c>
      <c r="E120" s="47" t="str">
        <f>All!I126</f>
        <v/>
      </c>
    </row>
    <row r="121">
      <c r="A121" s="35" t="str">
        <f>All!A127</f>
        <v/>
      </c>
      <c r="B121" s="35" t="str">
        <f>All!B127</f>
        <v/>
      </c>
      <c r="C121" s="35" t="str">
        <f>All!D127</f>
        <v/>
      </c>
      <c r="D121" s="35" t="str">
        <f>All!C127</f>
        <v/>
      </c>
      <c r="E121" s="47" t="str">
        <f>All!I127</f>
        <v/>
      </c>
    </row>
    <row r="122">
      <c r="A122" s="35" t="str">
        <f>All!A128</f>
        <v/>
      </c>
      <c r="B122" s="35" t="str">
        <f>All!B128</f>
        <v/>
      </c>
      <c r="C122" s="35" t="str">
        <f>All!D128</f>
        <v/>
      </c>
      <c r="D122" s="35" t="str">
        <f>All!C128</f>
        <v/>
      </c>
      <c r="E122" s="47" t="str">
        <f>All!I128</f>
        <v/>
      </c>
    </row>
    <row r="123">
      <c r="A123" s="35" t="str">
        <f>All!A129</f>
        <v/>
      </c>
      <c r="B123" s="35" t="str">
        <f>All!B129</f>
        <v/>
      </c>
      <c r="C123" s="35" t="str">
        <f>All!D129</f>
        <v/>
      </c>
      <c r="D123" s="35" t="str">
        <f>All!C129</f>
        <v/>
      </c>
      <c r="E123" s="47" t="str">
        <f>All!I129</f>
        <v/>
      </c>
    </row>
    <row r="124">
      <c r="A124" s="35" t="str">
        <f>All!A130</f>
        <v/>
      </c>
      <c r="B124" s="35" t="str">
        <f>All!B130</f>
        <v/>
      </c>
      <c r="C124" s="35" t="str">
        <f>All!D130</f>
        <v/>
      </c>
      <c r="D124" s="35" t="str">
        <f>All!C130</f>
        <v/>
      </c>
      <c r="E124" s="47" t="str">
        <f>All!I130</f>
        <v/>
      </c>
    </row>
    <row r="125">
      <c r="A125" s="35" t="str">
        <f>All!A131</f>
        <v/>
      </c>
      <c r="B125" s="35" t="str">
        <f>All!B131</f>
        <v/>
      </c>
      <c r="C125" s="35" t="str">
        <f>All!D131</f>
        <v/>
      </c>
      <c r="D125" s="35" t="str">
        <f>All!C131</f>
        <v/>
      </c>
      <c r="E125" s="47" t="str">
        <f>All!I131</f>
        <v/>
      </c>
    </row>
    <row r="126">
      <c r="A126" s="35" t="str">
        <f>All!A132</f>
        <v/>
      </c>
      <c r="B126" s="35" t="str">
        <f>All!B132</f>
        <v/>
      </c>
      <c r="C126" s="35" t="str">
        <f>All!D132</f>
        <v/>
      </c>
      <c r="D126" s="35" t="str">
        <f>All!C132</f>
        <v/>
      </c>
      <c r="E126" s="47" t="str">
        <f>All!I132</f>
        <v/>
      </c>
    </row>
    <row r="127">
      <c r="A127" s="35" t="str">
        <f>All!A133</f>
        <v/>
      </c>
      <c r="B127" s="35" t="str">
        <f>All!B133</f>
        <v/>
      </c>
      <c r="C127" s="35" t="str">
        <f>All!D133</f>
        <v/>
      </c>
      <c r="D127" s="35" t="str">
        <f>All!C133</f>
        <v/>
      </c>
      <c r="E127" s="47" t="str">
        <f>All!I133</f>
        <v/>
      </c>
    </row>
    <row r="128">
      <c r="A128" s="35" t="str">
        <f>All!A134</f>
        <v/>
      </c>
      <c r="B128" s="35" t="str">
        <f>All!B134</f>
        <v/>
      </c>
      <c r="C128" s="35" t="str">
        <f>All!D134</f>
        <v/>
      </c>
      <c r="D128" s="35" t="str">
        <f>All!C134</f>
        <v/>
      </c>
      <c r="E128" s="47" t="str">
        <f>All!I134</f>
        <v/>
      </c>
    </row>
    <row r="129">
      <c r="A129" s="35" t="str">
        <f>All!A135</f>
        <v/>
      </c>
      <c r="B129" s="35" t="str">
        <f>All!B135</f>
        <v/>
      </c>
      <c r="C129" s="35" t="str">
        <f>All!D135</f>
        <v/>
      </c>
      <c r="D129" s="35" t="str">
        <f>All!C135</f>
        <v/>
      </c>
      <c r="E129" s="47" t="str">
        <f>All!I135</f>
        <v/>
      </c>
    </row>
    <row r="130">
      <c r="A130" s="35" t="str">
        <f>All!A136</f>
        <v/>
      </c>
      <c r="B130" s="35" t="str">
        <f>All!B136</f>
        <v/>
      </c>
      <c r="C130" s="35" t="str">
        <f>All!D136</f>
        <v/>
      </c>
      <c r="D130" s="35" t="str">
        <f>All!C136</f>
        <v/>
      </c>
      <c r="E130" s="47" t="str">
        <f>All!I136</f>
        <v/>
      </c>
    </row>
    <row r="131">
      <c r="A131" s="35" t="str">
        <f>All!A137</f>
        <v/>
      </c>
      <c r="B131" s="35" t="str">
        <f>All!B137</f>
        <v/>
      </c>
      <c r="C131" s="35" t="str">
        <f>All!D137</f>
        <v/>
      </c>
      <c r="D131" s="35" t="str">
        <f>All!C137</f>
        <v/>
      </c>
      <c r="E131" s="47" t="str">
        <f>All!I137</f>
        <v/>
      </c>
    </row>
    <row r="132">
      <c r="A132" s="35" t="str">
        <f>All!A138</f>
        <v/>
      </c>
      <c r="B132" s="35" t="str">
        <f>All!B138</f>
        <v/>
      </c>
      <c r="C132" s="35" t="str">
        <f>All!D138</f>
        <v/>
      </c>
      <c r="D132" s="35" t="str">
        <f>All!C138</f>
        <v/>
      </c>
      <c r="E132" s="47" t="str">
        <f>All!I138</f>
        <v/>
      </c>
    </row>
    <row r="133">
      <c r="A133" s="35" t="str">
        <f>All!A139</f>
        <v/>
      </c>
      <c r="B133" s="35" t="str">
        <f>All!B139</f>
        <v/>
      </c>
      <c r="C133" s="35" t="str">
        <f>All!D139</f>
        <v/>
      </c>
      <c r="D133" s="35" t="str">
        <f>All!C139</f>
        <v/>
      </c>
      <c r="E133" s="47" t="str">
        <f>All!I139</f>
        <v/>
      </c>
    </row>
    <row r="134">
      <c r="A134" s="35" t="str">
        <f>All!A140</f>
        <v/>
      </c>
      <c r="B134" s="35" t="str">
        <f>All!B140</f>
        <v/>
      </c>
      <c r="C134" s="35" t="str">
        <f>All!D140</f>
        <v/>
      </c>
      <c r="D134" s="35" t="str">
        <f>All!C140</f>
        <v/>
      </c>
      <c r="E134" s="47" t="str">
        <f>All!I140</f>
        <v/>
      </c>
    </row>
    <row r="135">
      <c r="A135" s="35" t="str">
        <f>All!A141</f>
        <v/>
      </c>
      <c r="B135" s="35" t="str">
        <f>All!B141</f>
        <v/>
      </c>
      <c r="C135" s="35" t="str">
        <f>All!D141</f>
        <v/>
      </c>
      <c r="D135" s="35" t="str">
        <f>All!C141</f>
        <v/>
      </c>
      <c r="E135" s="47" t="str">
        <f>All!I141</f>
        <v/>
      </c>
    </row>
    <row r="136">
      <c r="A136" s="35" t="str">
        <f>All!A142</f>
        <v/>
      </c>
      <c r="B136" s="35" t="str">
        <f>All!B142</f>
        <v/>
      </c>
      <c r="C136" s="35" t="str">
        <f>All!D142</f>
        <v/>
      </c>
      <c r="D136" s="35" t="str">
        <f>All!C142</f>
        <v/>
      </c>
      <c r="E136" s="47" t="str">
        <f>All!I142</f>
        <v/>
      </c>
    </row>
    <row r="137">
      <c r="A137" s="35" t="str">
        <f>All!A143</f>
        <v/>
      </c>
      <c r="B137" s="35" t="str">
        <f>All!B143</f>
        <v/>
      </c>
      <c r="C137" s="35" t="str">
        <f>All!D143</f>
        <v/>
      </c>
      <c r="D137" s="35" t="str">
        <f>All!C143</f>
        <v/>
      </c>
      <c r="E137" s="47" t="str">
        <f>All!I143</f>
        <v/>
      </c>
    </row>
    <row r="138">
      <c r="A138" s="35" t="str">
        <f>All!A144</f>
        <v/>
      </c>
      <c r="B138" s="35" t="str">
        <f>All!B144</f>
        <v/>
      </c>
      <c r="C138" s="35" t="str">
        <f>All!D144</f>
        <v/>
      </c>
      <c r="D138" s="35" t="str">
        <f>All!C144</f>
        <v/>
      </c>
      <c r="E138" s="47" t="str">
        <f>All!I144</f>
        <v/>
      </c>
    </row>
    <row r="139">
      <c r="A139" s="35" t="str">
        <f>All!A145</f>
        <v/>
      </c>
      <c r="B139" s="35" t="str">
        <f>All!B145</f>
        <v/>
      </c>
      <c r="C139" s="35" t="str">
        <f>All!D145</f>
        <v/>
      </c>
      <c r="D139" s="35" t="str">
        <f>All!C145</f>
        <v/>
      </c>
      <c r="E139" s="47" t="str">
        <f>All!I145</f>
        <v/>
      </c>
    </row>
    <row r="140">
      <c r="A140" s="35" t="str">
        <f>All!A146</f>
        <v/>
      </c>
      <c r="B140" s="35" t="str">
        <f>All!B146</f>
        <v/>
      </c>
      <c r="C140" s="35" t="str">
        <f>All!D146</f>
        <v/>
      </c>
      <c r="D140" s="35" t="str">
        <f>All!C146</f>
        <v/>
      </c>
      <c r="E140" s="47" t="str">
        <f>All!I146</f>
        <v/>
      </c>
    </row>
    <row r="141">
      <c r="A141" s="35" t="str">
        <f>All!A147</f>
        <v/>
      </c>
      <c r="B141" s="35" t="str">
        <f>All!B147</f>
        <v/>
      </c>
      <c r="C141" s="35" t="str">
        <f>All!D147</f>
        <v/>
      </c>
      <c r="D141" s="35" t="str">
        <f>All!C147</f>
        <v/>
      </c>
      <c r="E141" s="47" t="str">
        <f>All!I147</f>
        <v/>
      </c>
    </row>
    <row r="142">
      <c r="A142" s="35" t="str">
        <f>All!A148</f>
        <v/>
      </c>
      <c r="B142" s="35" t="str">
        <f>All!B148</f>
        <v/>
      </c>
      <c r="C142" s="35" t="str">
        <f>All!D148</f>
        <v/>
      </c>
      <c r="D142" s="35" t="str">
        <f>All!C148</f>
        <v/>
      </c>
      <c r="E142" s="47" t="str">
        <f>All!I148</f>
        <v/>
      </c>
    </row>
    <row r="143">
      <c r="A143" s="35" t="str">
        <f>All!A149</f>
        <v/>
      </c>
      <c r="B143" s="35" t="str">
        <f>All!B149</f>
        <v/>
      </c>
      <c r="C143" s="35" t="str">
        <f>All!D149</f>
        <v/>
      </c>
      <c r="D143" s="35" t="str">
        <f>All!C149</f>
        <v/>
      </c>
      <c r="E143" s="47" t="str">
        <f>All!I149</f>
        <v/>
      </c>
    </row>
    <row r="144">
      <c r="A144" s="35" t="str">
        <f>All!A150</f>
        <v/>
      </c>
      <c r="B144" s="35" t="str">
        <f>All!B150</f>
        <v/>
      </c>
      <c r="C144" s="35" t="str">
        <f>All!D150</f>
        <v/>
      </c>
      <c r="D144" s="35" t="str">
        <f>All!C150</f>
        <v/>
      </c>
      <c r="E144" s="47" t="str">
        <f>All!I150</f>
        <v/>
      </c>
    </row>
    <row r="145">
      <c r="A145" s="35" t="str">
        <f>All!A151</f>
        <v/>
      </c>
      <c r="B145" s="35" t="str">
        <f>All!B151</f>
        <v/>
      </c>
      <c r="C145" s="35" t="str">
        <f>All!D151</f>
        <v/>
      </c>
      <c r="D145" s="35" t="str">
        <f>All!C151</f>
        <v/>
      </c>
      <c r="E145" s="47" t="str">
        <f>All!I151</f>
        <v/>
      </c>
    </row>
    <row r="146">
      <c r="A146" s="35" t="str">
        <f>All!A152</f>
        <v/>
      </c>
      <c r="B146" s="35" t="str">
        <f>All!B152</f>
        <v/>
      </c>
      <c r="C146" s="35" t="str">
        <f>All!D152</f>
        <v/>
      </c>
      <c r="D146" s="35" t="str">
        <f>All!C152</f>
        <v/>
      </c>
      <c r="E146" s="47" t="str">
        <f>All!I152</f>
        <v/>
      </c>
    </row>
    <row r="147">
      <c r="A147" s="35" t="str">
        <f>All!A153</f>
        <v/>
      </c>
      <c r="B147" s="35" t="str">
        <f>All!B153</f>
        <v/>
      </c>
      <c r="C147" s="35" t="str">
        <f>All!D153</f>
        <v/>
      </c>
      <c r="D147" s="35" t="str">
        <f>All!C153</f>
        <v/>
      </c>
      <c r="E147" s="47" t="str">
        <f>All!I153</f>
        <v/>
      </c>
    </row>
    <row r="148">
      <c r="A148" s="35" t="str">
        <f>All!A154</f>
        <v/>
      </c>
      <c r="B148" s="35" t="str">
        <f>All!B154</f>
        <v/>
      </c>
      <c r="C148" s="35" t="str">
        <f>All!D154</f>
        <v/>
      </c>
      <c r="D148" s="35" t="str">
        <f>All!C154</f>
        <v/>
      </c>
      <c r="E148" s="47" t="str">
        <f>All!I154</f>
        <v/>
      </c>
    </row>
    <row r="149">
      <c r="A149" s="35" t="str">
        <f>All!A155</f>
        <v/>
      </c>
      <c r="B149" s="35" t="str">
        <f>All!B155</f>
        <v/>
      </c>
      <c r="C149" s="35" t="str">
        <f>All!D155</f>
        <v/>
      </c>
      <c r="D149" s="35" t="str">
        <f>All!C155</f>
        <v/>
      </c>
      <c r="E149" s="47" t="str">
        <f>All!I155</f>
        <v/>
      </c>
    </row>
    <row r="150">
      <c r="A150" s="35" t="str">
        <f>All!A156</f>
        <v/>
      </c>
      <c r="B150" s="35" t="str">
        <f>All!B156</f>
        <v/>
      </c>
      <c r="C150" s="35" t="str">
        <f>All!D156</f>
        <v/>
      </c>
      <c r="D150" s="35" t="str">
        <f>All!C156</f>
        <v/>
      </c>
      <c r="E150" s="47" t="str">
        <f>All!I156</f>
        <v/>
      </c>
    </row>
    <row r="151">
      <c r="A151" s="35" t="str">
        <f>All!A157</f>
        <v/>
      </c>
      <c r="B151" s="35" t="str">
        <f>All!B157</f>
        <v/>
      </c>
      <c r="C151" s="35" t="str">
        <f>All!D157</f>
        <v/>
      </c>
      <c r="D151" s="35" t="str">
        <f>All!C157</f>
        <v/>
      </c>
      <c r="E151" s="47" t="str">
        <f>All!I157</f>
        <v/>
      </c>
    </row>
    <row r="152">
      <c r="A152" s="35" t="str">
        <f>All!A158</f>
        <v/>
      </c>
      <c r="B152" s="35" t="str">
        <f>All!B158</f>
        <v/>
      </c>
      <c r="C152" s="35" t="str">
        <f>All!D158</f>
        <v/>
      </c>
      <c r="D152" s="35" t="str">
        <f>All!C158</f>
        <v/>
      </c>
      <c r="E152" s="47" t="str">
        <f>All!I158</f>
        <v/>
      </c>
    </row>
    <row r="153">
      <c r="A153" s="35" t="str">
        <f>All!A159</f>
        <v/>
      </c>
      <c r="B153" s="35" t="str">
        <f>All!B159</f>
        <v/>
      </c>
      <c r="C153" s="35" t="str">
        <f>All!D159</f>
        <v/>
      </c>
      <c r="D153" s="35" t="str">
        <f>All!C159</f>
        <v/>
      </c>
      <c r="E153" s="47" t="str">
        <f>All!I159</f>
        <v/>
      </c>
    </row>
    <row r="154">
      <c r="A154" s="35" t="str">
        <f>All!A160</f>
        <v/>
      </c>
      <c r="B154" s="35" t="str">
        <f>All!B160</f>
        <v/>
      </c>
      <c r="C154" s="35" t="str">
        <f>All!D160</f>
        <v/>
      </c>
      <c r="D154" s="35" t="str">
        <f>All!C160</f>
        <v/>
      </c>
      <c r="E154" s="47" t="str">
        <f>All!I160</f>
        <v/>
      </c>
    </row>
    <row r="155">
      <c r="A155" s="35" t="str">
        <f>All!A161</f>
        <v/>
      </c>
      <c r="B155" s="35" t="str">
        <f>All!B161</f>
        <v/>
      </c>
      <c r="C155" s="35" t="str">
        <f>All!D161</f>
        <v/>
      </c>
      <c r="D155" s="35" t="str">
        <f>All!C161</f>
        <v/>
      </c>
      <c r="E155" s="47" t="str">
        <f>All!I161</f>
        <v/>
      </c>
    </row>
    <row r="156">
      <c r="A156" s="35" t="str">
        <f>All!A162</f>
        <v/>
      </c>
      <c r="B156" s="35" t="str">
        <f>All!B162</f>
        <v/>
      </c>
      <c r="C156" s="35" t="str">
        <f>All!D162</f>
        <v/>
      </c>
      <c r="D156" s="35" t="str">
        <f>All!C162</f>
        <v/>
      </c>
      <c r="E156" s="47" t="str">
        <f>All!I162</f>
        <v/>
      </c>
    </row>
    <row r="157">
      <c r="A157" s="35" t="str">
        <f>All!A163</f>
        <v/>
      </c>
      <c r="B157" s="35" t="str">
        <f>All!B163</f>
        <v/>
      </c>
      <c r="C157" s="35" t="str">
        <f>All!D163</f>
        <v/>
      </c>
      <c r="D157" s="35" t="str">
        <f>All!C163</f>
        <v/>
      </c>
      <c r="E157" s="47" t="str">
        <f>All!I163</f>
        <v/>
      </c>
    </row>
    <row r="158">
      <c r="A158" s="35" t="str">
        <f>All!A164</f>
        <v/>
      </c>
      <c r="B158" s="35" t="str">
        <f>All!B164</f>
        <v/>
      </c>
      <c r="C158" s="35" t="str">
        <f>All!D164</f>
        <v/>
      </c>
      <c r="D158" s="35" t="str">
        <f>All!C164</f>
        <v/>
      </c>
      <c r="E158" s="47" t="str">
        <f>All!I164</f>
        <v/>
      </c>
    </row>
    <row r="159">
      <c r="A159" s="35" t="str">
        <f>All!A165</f>
        <v/>
      </c>
      <c r="B159" s="35" t="str">
        <f>All!B165</f>
        <v/>
      </c>
      <c r="C159" s="35" t="str">
        <f>All!D165</f>
        <v/>
      </c>
      <c r="D159" s="35" t="str">
        <f>All!C165</f>
        <v/>
      </c>
      <c r="E159" s="47" t="str">
        <f>All!I165</f>
        <v/>
      </c>
    </row>
    <row r="160">
      <c r="A160" s="35" t="str">
        <f>All!A166</f>
        <v/>
      </c>
      <c r="B160" s="35" t="str">
        <f>All!B166</f>
        <v/>
      </c>
      <c r="C160" s="35" t="str">
        <f>All!D166</f>
        <v/>
      </c>
      <c r="D160" s="35" t="str">
        <f>All!C166</f>
        <v/>
      </c>
      <c r="E160" s="47" t="str">
        <f>All!I166</f>
        <v/>
      </c>
    </row>
    <row r="161">
      <c r="A161" s="35" t="str">
        <f>All!A167</f>
        <v/>
      </c>
      <c r="B161" s="35" t="str">
        <f>All!B167</f>
        <v/>
      </c>
      <c r="C161" s="35" t="str">
        <f>All!D167</f>
        <v/>
      </c>
      <c r="D161" s="35" t="str">
        <f>All!C167</f>
        <v/>
      </c>
      <c r="E161" s="47" t="str">
        <f>All!I167</f>
        <v/>
      </c>
    </row>
    <row r="162">
      <c r="A162" s="35" t="str">
        <f>All!A168</f>
        <v/>
      </c>
      <c r="B162" s="35" t="str">
        <f>All!B168</f>
        <v/>
      </c>
      <c r="C162" s="35" t="str">
        <f>All!D168</f>
        <v/>
      </c>
      <c r="D162" s="35" t="str">
        <f>All!C168</f>
        <v/>
      </c>
      <c r="E162" s="47" t="str">
        <f>All!I168</f>
        <v/>
      </c>
    </row>
    <row r="163">
      <c r="A163" s="35" t="str">
        <f>All!A169</f>
        <v/>
      </c>
      <c r="B163" s="35" t="str">
        <f>All!B169</f>
        <v/>
      </c>
      <c r="C163" s="35" t="str">
        <f>All!D169</f>
        <v/>
      </c>
      <c r="D163" s="35" t="str">
        <f>All!C169</f>
        <v/>
      </c>
      <c r="E163" s="47" t="str">
        <f>All!I169</f>
        <v/>
      </c>
    </row>
    <row r="164">
      <c r="A164" s="35" t="str">
        <f>All!A170</f>
        <v/>
      </c>
      <c r="B164" s="35" t="str">
        <f>All!B170</f>
        <v/>
      </c>
      <c r="C164" s="35" t="str">
        <f>All!D170</f>
        <v/>
      </c>
      <c r="D164" s="35" t="str">
        <f>All!C170</f>
        <v/>
      </c>
      <c r="E164" s="47" t="str">
        <f>All!I170</f>
        <v/>
      </c>
    </row>
    <row r="165">
      <c r="A165" s="35" t="str">
        <f>All!A171</f>
        <v/>
      </c>
      <c r="B165" s="35" t="str">
        <f>All!B171</f>
        <v/>
      </c>
      <c r="C165" s="35" t="str">
        <f>All!D171</f>
        <v/>
      </c>
      <c r="D165" s="35" t="str">
        <f>All!C171</f>
        <v/>
      </c>
      <c r="E165" s="47" t="str">
        <f>All!I171</f>
        <v/>
      </c>
    </row>
    <row r="166">
      <c r="A166" s="35" t="str">
        <f>All!A172</f>
        <v/>
      </c>
      <c r="B166" s="35" t="str">
        <f>All!B172</f>
        <v/>
      </c>
      <c r="C166" s="35" t="str">
        <f>All!D172</f>
        <v/>
      </c>
      <c r="D166" s="35" t="str">
        <f>All!C172</f>
        <v/>
      </c>
      <c r="E166" s="47" t="str">
        <f>All!I172</f>
        <v/>
      </c>
    </row>
    <row r="167">
      <c r="A167" s="35" t="str">
        <f>All!A173</f>
        <v/>
      </c>
      <c r="B167" s="35" t="str">
        <f>All!B173</f>
        <v/>
      </c>
      <c r="C167" s="35" t="str">
        <f>All!D173</f>
        <v/>
      </c>
      <c r="D167" s="35" t="str">
        <f>All!C173</f>
        <v/>
      </c>
      <c r="E167" s="47" t="str">
        <f>All!I173</f>
        <v/>
      </c>
    </row>
    <row r="168">
      <c r="A168" s="35" t="str">
        <f>All!A174</f>
        <v/>
      </c>
      <c r="B168" s="35" t="str">
        <f>All!B174</f>
        <v/>
      </c>
      <c r="C168" s="35" t="str">
        <f>All!D174</f>
        <v/>
      </c>
      <c r="D168" s="35" t="str">
        <f>All!C174</f>
        <v/>
      </c>
      <c r="E168" s="47" t="str">
        <f>All!I174</f>
        <v/>
      </c>
    </row>
    <row r="169">
      <c r="A169" s="35" t="str">
        <f>All!A175</f>
        <v/>
      </c>
      <c r="B169" s="35" t="str">
        <f>All!B175</f>
        <v/>
      </c>
      <c r="C169" s="35" t="str">
        <f>All!D175</f>
        <v/>
      </c>
      <c r="D169" s="35" t="str">
        <f>All!C175</f>
        <v/>
      </c>
      <c r="E169" s="47" t="str">
        <f>All!I175</f>
        <v/>
      </c>
    </row>
    <row r="170">
      <c r="A170" s="35" t="str">
        <f>All!A176</f>
        <v/>
      </c>
      <c r="B170" s="35" t="str">
        <f>All!B176</f>
        <v/>
      </c>
      <c r="C170" s="35" t="str">
        <f>All!D176</f>
        <v/>
      </c>
      <c r="D170" s="35" t="str">
        <f>All!C176</f>
        <v/>
      </c>
      <c r="E170" s="47" t="str">
        <f>All!I176</f>
        <v/>
      </c>
    </row>
    <row r="171">
      <c r="A171" s="35" t="str">
        <f>All!A177</f>
        <v/>
      </c>
      <c r="B171" s="35" t="str">
        <f>All!B177</f>
        <v/>
      </c>
      <c r="C171" s="35" t="str">
        <f>All!D177</f>
        <v/>
      </c>
      <c r="D171" s="35" t="str">
        <f>All!C177</f>
        <v/>
      </c>
      <c r="E171" s="47" t="str">
        <f>All!I177</f>
        <v/>
      </c>
    </row>
    <row r="172">
      <c r="A172" s="35" t="str">
        <f>All!A178</f>
        <v/>
      </c>
      <c r="B172" s="35" t="str">
        <f>All!B178</f>
        <v/>
      </c>
      <c r="C172" s="35" t="str">
        <f>All!D178</f>
        <v/>
      </c>
      <c r="D172" s="35" t="str">
        <f>All!C178</f>
        <v/>
      </c>
      <c r="E172" s="47" t="str">
        <f>All!I178</f>
        <v/>
      </c>
    </row>
    <row r="173">
      <c r="A173" s="35" t="str">
        <f>All!A179</f>
        <v/>
      </c>
      <c r="B173" s="35" t="str">
        <f>All!B179</f>
        <v/>
      </c>
      <c r="C173" s="35" t="str">
        <f>All!D179</f>
        <v/>
      </c>
      <c r="D173" s="35" t="str">
        <f>All!C179</f>
        <v/>
      </c>
      <c r="E173" s="47" t="str">
        <f>All!I179</f>
        <v/>
      </c>
    </row>
    <row r="174">
      <c r="A174" s="35" t="str">
        <f>All!A180</f>
        <v/>
      </c>
      <c r="B174" s="35" t="str">
        <f>All!B180</f>
        <v/>
      </c>
      <c r="C174" s="35" t="str">
        <f>All!D180</f>
        <v/>
      </c>
      <c r="D174" s="35" t="str">
        <f>All!C180</f>
        <v/>
      </c>
      <c r="E174" s="47" t="str">
        <f>All!I180</f>
        <v/>
      </c>
    </row>
    <row r="175">
      <c r="A175" s="35" t="str">
        <f>All!A181</f>
        <v/>
      </c>
      <c r="B175" s="35" t="str">
        <f>All!B181</f>
        <v/>
      </c>
      <c r="C175" s="35" t="str">
        <f>All!D181</f>
        <v/>
      </c>
      <c r="D175" s="35" t="str">
        <f>All!C181</f>
        <v/>
      </c>
      <c r="E175" s="47" t="str">
        <f>All!I181</f>
        <v/>
      </c>
    </row>
    <row r="176">
      <c r="A176" s="35" t="str">
        <f>All!A182</f>
        <v/>
      </c>
      <c r="B176" s="35" t="str">
        <f>All!B182</f>
        <v/>
      </c>
      <c r="C176" s="35" t="str">
        <f>All!D182</f>
        <v/>
      </c>
      <c r="D176" s="35" t="str">
        <f>All!C182</f>
        <v/>
      </c>
      <c r="E176" s="47" t="str">
        <f>All!I182</f>
        <v/>
      </c>
    </row>
    <row r="177">
      <c r="A177" s="35" t="str">
        <f>All!A183</f>
        <v/>
      </c>
      <c r="B177" s="35" t="str">
        <f>All!B183</f>
        <v/>
      </c>
      <c r="C177" s="35" t="str">
        <f>All!D183</f>
        <v/>
      </c>
      <c r="D177" s="35" t="str">
        <f>All!C183</f>
        <v/>
      </c>
      <c r="E177" s="47" t="str">
        <f>All!I183</f>
        <v/>
      </c>
    </row>
    <row r="178">
      <c r="A178" s="35" t="str">
        <f>All!A184</f>
        <v/>
      </c>
      <c r="B178" s="35" t="str">
        <f>All!B184</f>
        <v/>
      </c>
      <c r="C178" s="35" t="str">
        <f>All!D184</f>
        <v/>
      </c>
      <c r="D178" s="35" t="str">
        <f>All!C184</f>
        <v/>
      </c>
      <c r="E178" s="47" t="str">
        <f>All!I184</f>
        <v/>
      </c>
    </row>
    <row r="179">
      <c r="A179" s="35" t="str">
        <f>All!A185</f>
        <v/>
      </c>
      <c r="B179" s="35" t="str">
        <f>All!B185</f>
        <v/>
      </c>
      <c r="C179" s="35" t="str">
        <f>All!D185</f>
        <v/>
      </c>
      <c r="D179" s="35" t="str">
        <f>All!C185</f>
        <v/>
      </c>
      <c r="E179" s="47" t="str">
        <f>All!I185</f>
        <v/>
      </c>
    </row>
    <row r="180">
      <c r="A180" s="35" t="str">
        <f>All!A186</f>
        <v/>
      </c>
      <c r="B180" s="35" t="str">
        <f>All!B186</f>
        <v/>
      </c>
      <c r="C180" s="35" t="str">
        <f>All!D186</f>
        <v/>
      </c>
      <c r="D180" s="35" t="str">
        <f>All!C186</f>
        <v/>
      </c>
      <c r="E180" s="47" t="str">
        <f>All!I186</f>
        <v/>
      </c>
    </row>
    <row r="181">
      <c r="A181" s="35" t="str">
        <f>All!A187</f>
        <v/>
      </c>
      <c r="B181" s="35" t="str">
        <f>All!B187</f>
        <v/>
      </c>
      <c r="C181" s="35" t="str">
        <f>All!D187</f>
        <v/>
      </c>
      <c r="D181" s="35" t="str">
        <f>All!C187</f>
        <v/>
      </c>
      <c r="E181" s="47" t="str">
        <f>All!I187</f>
        <v/>
      </c>
    </row>
    <row r="182">
      <c r="A182" s="35" t="str">
        <f>All!A188</f>
        <v/>
      </c>
      <c r="B182" s="35" t="str">
        <f>All!B188</f>
        <v/>
      </c>
      <c r="C182" s="35" t="str">
        <f>All!D188</f>
        <v/>
      </c>
      <c r="D182" s="35" t="str">
        <f>All!C188</f>
        <v/>
      </c>
      <c r="E182" s="47" t="str">
        <f>All!I188</f>
        <v/>
      </c>
    </row>
    <row r="183">
      <c r="A183" s="35" t="str">
        <f>All!A189</f>
        <v/>
      </c>
      <c r="B183" s="35" t="str">
        <f>All!B189</f>
        <v/>
      </c>
      <c r="C183" s="35" t="str">
        <f>All!D189</f>
        <v/>
      </c>
      <c r="D183" s="35" t="str">
        <f>All!C189</f>
        <v/>
      </c>
      <c r="E183" s="47" t="str">
        <f>All!I189</f>
        <v/>
      </c>
    </row>
    <row r="184">
      <c r="A184" s="35" t="str">
        <f>All!A190</f>
        <v/>
      </c>
      <c r="B184" s="35" t="str">
        <f>All!B190</f>
        <v/>
      </c>
      <c r="C184" s="35" t="str">
        <f>All!D190</f>
        <v/>
      </c>
      <c r="D184" s="35" t="str">
        <f>All!C190</f>
        <v/>
      </c>
      <c r="E184" s="47" t="str">
        <f>All!I190</f>
        <v/>
      </c>
    </row>
    <row r="185">
      <c r="A185" s="35" t="str">
        <f>All!A191</f>
        <v/>
      </c>
      <c r="B185" s="35" t="str">
        <f>All!B191</f>
        <v/>
      </c>
      <c r="C185" s="35" t="str">
        <f>All!D191</f>
        <v/>
      </c>
      <c r="D185" s="35" t="str">
        <f>All!C191</f>
        <v/>
      </c>
      <c r="E185" s="47" t="str">
        <f>All!I191</f>
        <v/>
      </c>
    </row>
    <row r="186">
      <c r="A186" s="35" t="str">
        <f>All!A192</f>
        <v/>
      </c>
      <c r="B186" s="35" t="str">
        <f>All!B192</f>
        <v/>
      </c>
      <c r="C186" s="35" t="str">
        <f>All!D192</f>
        <v/>
      </c>
      <c r="D186" s="35" t="str">
        <f>All!C192</f>
        <v/>
      </c>
      <c r="E186" s="35" t="str">
        <f>All!I192</f>
        <v/>
      </c>
    </row>
    <row r="187">
      <c r="A187" s="35" t="str">
        <f>All!A193</f>
        <v/>
      </c>
      <c r="B187" s="35" t="str">
        <f>All!B193</f>
        <v/>
      </c>
      <c r="C187" s="35" t="str">
        <f>All!D193</f>
        <v/>
      </c>
      <c r="D187" s="35" t="str">
        <f>All!C193</f>
        <v/>
      </c>
      <c r="E187" s="35" t="str">
        <f>All!I193</f>
        <v/>
      </c>
    </row>
    <row r="188">
      <c r="A188" s="35" t="str">
        <f>All!A194</f>
        <v/>
      </c>
      <c r="B188" s="35" t="str">
        <f>All!B194</f>
        <v/>
      </c>
      <c r="C188" s="35" t="str">
        <f>All!D194</f>
        <v/>
      </c>
      <c r="D188" s="35" t="str">
        <f>All!C194</f>
        <v/>
      </c>
      <c r="E188" s="35" t="str">
        <f>All!I194</f>
        <v/>
      </c>
    </row>
    <row r="189">
      <c r="A189" s="35" t="str">
        <f>All!A195</f>
        <v/>
      </c>
      <c r="B189" s="35" t="str">
        <f>All!B195</f>
        <v/>
      </c>
      <c r="C189" s="35" t="str">
        <f>All!D195</f>
        <v/>
      </c>
      <c r="D189" s="35" t="str">
        <f>All!C195</f>
        <v/>
      </c>
      <c r="E189" s="35" t="str">
        <f>All!I195</f>
        <v/>
      </c>
    </row>
    <row r="190">
      <c r="A190" s="35" t="str">
        <f>All!A196</f>
        <v/>
      </c>
      <c r="B190" s="35" t="str">
        <f>All!B196</f>
        <v/>
      </c>
      <c r="C190" s="35" t="str">
        <f>All!D196</f>
        <v/>
      </c>
      <c r="D190" s="35" t="str">
        <f>All!C196</f>
        <v/>
      </c>
      <c r="E190" s="35" t="str">
        <f>All!I196</f>
        <v/>
      </c>
    </row>
    <row r="191">
      <c r="A191" s="35" t="str">
        <f>All!A197</f>
        <v/>
      </c>
      <c r="B191" s="35" t="str">
        <f>All!B197</f>
        <v/>
      </c>
      <c r="C191" s="35" t="str">
        <f>All!D197</f>
        <v/>
      </c>
      <c r="D191" s="35" t="str">
        <f>All!O197</f>
        <v/>
      </c>
      <c r="E191" s="35" t="str">
        <f>All!N197</f>
        <v/>
      </c>
    </row>
    <row r="192">
      <c r="A192" s="35" t="str">
        <f>All!A198</f>
        <v/>
      </c>
      <c r="B192" s="35" t="str">
        <f>All!B198</f>
        <v/>
      </c>
      <c r="C192" s="35" t="str">
        <f>All!D198</f>
        <v/>
      </c>
      <c r="D192" s="35" t="str">
        <f>All!O198</f>
        <v/>
      </c>
      <c r="E192" s="35" t="str">
        <f>All!N198</f>
        <v/>
      </c>
    </row>
    <row r="193">
      <c r="A193" s="35" t="str">
        <f>All!A199</f>
        <v/>
      </c>
      <c r="B193" s="35" t="str">
        <f>All!B199</f>
        <v/>
      </c>
      <c r="C193" s="35" t="str">
        <f>All!D199</f>
        <v/>
      </c>
      <c r="D193" s="35" t="str">
        <f>All!O199</f>
        <v/>
      </c>
      <c r="E193" s="35" t="str">
        <f>All!N199</f>
        <v/>
      </c>
    </row>
    <row r="194">
      <c r="A194" s="35" t="str">
        <f>All!A200</f>
        <v/>
      </c>
      <c r="B194" s="35" t="str">
        <f>All!B200</f>
        <v/>
      </c>
      <c r="C194" s="35" t="str">
        <f>All!D200</f>
        <v/>
      </c>
      <c r="D194" s="35" t="str">
        <f>All!O200</f>
        <v/>
      </c>
      <c r="E194" s="35" t="str">
        <f>All!N200</f>
        <v/>
      </c>
    </row>
    <row r="195">
      <c r="A195" s="35" t="str">
        <f>All!A201</f>
        <v/>
      </c>
      <c r="B195" s="35" t="str">
        <f>All!B201</f>
        <v/>
      </c>
      <c r="C195" s="35" t="str">
        <f>All!D201</f>
        <v/>
      </c>
      <c r="D195" s="35" t="str">
        <f>All!O201</f>
        <v/>
      </c>
      <c r="E195" s="35" t="str">
        <f>All!N201</f>
        <v/>
      </c>
    </row>
    <row r="196">
      <c r="A196" s="35" t="str">
        <f>All!A202</f>
        <v/>
      </c>
      <c r="B196" s="35" t="str">
        <f>All!B202</f>
        <v/>
      </c>
      <c r="C196" s="35" t="str">
        <f>All!D202</f>
        <v/>
      </c>
      <c r="D196" s="35" t="str">
        <f>All!O202</f>
        <v/>
      </c>
      <c r="E196" s="35" t="str">
        <f>All!N202</f>
        <v/>
      </c>
    </row>
    <row r="197">
      <c r="A197" s="35" t="str">
        <f>All!A203</f>
        <v/>
      </c>
      <c r="B197" s="35" t="str">
        <f>All!B203</f>
        <v/>
      </c>
      <c r="C197" s="35" t="str">
        <f>All!D203</f>
        <v/>
      </c>
      <c r="D197" s="35" t="str">
        <f>All!O203</f>
        <v/>
      </c>
      <c r="E197" s="35" t="str">
        <f>All!N203</f>
        <v/>
      </c>
    </row>
    <row r="198">
      <c r="A198" s="35" t="str">
        <f>All!A204</f>
        <v/>
      </c>
      <c r="B198" s="35" t="str">
        <f>All!B204</f>
        <v/>
      </c>
      <c r="C198" s="35" t="str">
        <f>All!D204</f>
        <v/>
      </c>
      <c r="D198" s="35" t="str">
        <f>All!O204</f>
        <v/>
      </c>
      <c r="E198" s="35" t="str">
        <f>All!N204</f>
        <v/>
      </c>
    </row>
    <row r="199">
      <c r="A199" s="35" t="str">
        <f>All!A205</f>
        <v/>
      </c>
      <c r="B199" s="35" t="str">
        <f>All!B205</f>
        <v/>
      </c>
      <c r="C199" s="35" t="str">
        <f>All!D205</f>
        <v/>
      </c>
      <c r="D199" s="35" t="str">
        <f>All!O205</f>
        <v/>
      </c>
      <c r="E199" s="35" t="str">
        <f>All!N205</f>
        <v/>
      </c>
    </row>
  </sheetData>
  <drawing r:id="rId1"/>
</worksheet>
</file>