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asti\Desktop\Flywheel-Pendulum\2. Modellbildung-Reglerentwurf\1. Matlab_Simulink\"/>
    </mc:Choice>
  </mc:AlternateContent>
  <xr:revisionPtr revIDLastSave="0" documentId="13_ncr:1_{E0E53B77-5A0F-4D96-B27F-D9C2CD1AAEB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NUR ALPHA (LINEAR)" sheetId="1" r:id="rId1"/>
    <sheet name="ALPHA, THETA, R (LINEA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2" i="2" l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3" i="2"/>
  <c r="P154" i="2"/>
  <c r="P155" i="2"/>
  <c r="P7" i="2"/>
  <c r="P8" i="2"/>
  <c r="P9" i="2"/>
  <c r="P10" i="2"/>
  <c r="P6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7" i="2"/>
  <c r="H8" i="2"/>
  <c r="H9" i="2"/>
  <c r="H10" i="2"/>
  <c r="H6" i="2"/>
  <c r="F177" i="2"/>
  <c r="N168" i="2"/>
  <c r="N181" i="2"/>
  <c r="N162" i="2"/>
  <c r="F169" i="2"/>
  <c r="F188" i="2"/>
  <c r="N169" i="2"/>
  <c r="M160" i="2"/>
  <c r="M180" i="2"/>
  <c r="F176" i="2"/>
  <c r="M175" i="2"/>
  <c r="M187" i="2"/>
  <c r="M163" i="2"/>
  <c r="F185" i="2"/>
  <c r="E180" i="2"/>
  <c r="E161" i="2"/>
  <c r="F161" i="2"/>
  <c r="F174" i="2"/>
  <c r="M173" i="2"/>
  <c r="F178" i="2"/>
  <c r="E162" i="2"/>
  <c r="M172" i="2"/>
  <c r="N175" i="2"/>
  <c r="E182" i="2"/>
  <c r="E186" i="2"/>
  <c r="N163" i="2"/>
  <c r="F180" i="2"/>
  <c r="F171" i="2"/>
  <c r="E170" i="2"/>
  <c r="E159" i="2"/>
  <c r="F160" i="2"/>
  <c r="M174" i="2"/>
  <c r="E187" i="2"/>
  <c r="E188" i="2"/>
  <c r="E172" i="2"/>
  <c r="M181" i="2"/>
  <c r="N170" i="2"/>
  <c r="E166" i="2"/>
  <c r="E168" i="2"/>
  <c r="E185" i="2"/>
  <c r="E183" i="2"/>
  <c r="N186" i="2"/>
  <c r="F181" i="2"/>
  <c r="E184" i="2"/>
  <c r="N166" i="2"/>
  <c r="N177" i="2"/>
  <c r="E171" i="2"/>
  <c r="N187" i="2"/>
  <c r="F167" i="2"/>
  <c r="M184" i="2"/>
  <c r="M176" i="2" s="1"/>
  <c r="E169" i="2"/>
  <c r="F168" i="2"/>
  <c r="E164" i="2"/>
  <c r="M169" i="2"/>
  <c r="N180" i="2"/>
  <c r="F166" i="2"/>
  <c r="E179" i="2"/>
  <c r="M177" i="2"/>
  <c r="F183" i="2"/>
  <c r="M170" i="2"/>
  <c r="F175" i="2"/>
  <c r="N160" i="2"/>
  <c r="N178" i="2"/>
  <c r="N182" i="2"/>
  <c r="E160" i="2"/>
  <c r="E181" i="2"/>
  <c r="N165" i="2"/>
  <c r="E173" i="2"/>
  <c r="M168" i="2"/>
  <c r="M188" i="2"/>
  <c r="N159" i="2"/>
  <c r="M183" i="2"/>
  <c r="N161" i="2"/>
  <c r="M179" i="2"/>
  <c r="N183" i="2"/>
  <c r="N173" i="2"/>
  <c r="E175" i="2"/>
  <c r="M178" i="2"/>
  <c r="N174" i="2"/>
  <c r="N185" i="2"/>
  <c r="M166" i="2"/>
  <c r="N164" i="2"/>
  <c r="N171" i="2"/>
  <c r="F184" i="2"/>
  <c r="F186" i="2"/>
  <c r="M165" i="2"/>
  <c r="M182" i="2"/>
  <c r="F172" i="2"/>
  <c r="N184" i="2"/>
  <c r="M171" i="2"/>
  <c r="F164" i="2"/>
  <c r="M159" i="2"/>
  <c r="F159" i="2"/>
  <c r="E165" i="2"/>
  <c r="E174" i="2"/>
  <c r="E177" i="2"/>
  <c r="F162" i="2"/>
  <c r="N172" i="2"/>
  <c r="F165" i="2"/>
  <c r="M161" i="2"/>
  <c r="M164" i="2"/>
  <c r="N167" i="2"/>
  <c r="M162" i="2"/>
  <c r="E178" i="2"/>
  <c r="E167" i="2"/>
  <c r="N179" i="2"/>
  <c r="M185" i="2"/>
  <c r="E163" i="2"/>
  <c r="F163" i="2"/>
  <c r="M167" i="2"/>
  <c r="N188" i="2"/>
  <c r="F182" i="2"/>
  <c r="F179" i="2"/>
  <c r="F170" i="2"/>
  <c r="M186" i="2"/>
  <c r="F187" i="2"/>
  <c r="N176" i="2"/>
  <c r="F173" i="2"/>
  <c r="F190" i="2" l="1"/>
  <c r="N190" i="2"/>
  <c r="E176" i="2"/>
</calcChain>
</file>

<file path=xl/sharedStrings.xml><?xml version="1.0" encoding="utf-8"?>
<sst xmlns="http://schemas.openxmlformats.org/spreadsheetml/2006/main" count="442" uniqueCount="17">
  <si>
    <t>OPTIMALE LMI-PARAMETER</t>
  </si>
  <si>
    <t>ALPHA</t>
  </si>
  <si>
    <t>R</t>
  </si>
  <si>
    <t>U_{max} [V]</t>
  </si>
  <si>
    <t>THETA [°]</t>
  </si>
  <si>
    <t>LMI-Parameter</t>
  </si>
  <si>
    <t>Anfangsauslenkung Pendel [°]</t>
  </si>
  <si>
    <t>-</t>
  </si>
  <si>
    <t>U &lt; 20V</t>
  </si>
  <si>
    <t>AnfangsauslenkungPendel [°]</t>
  </si>
  <si>
    <t>X</t>
  </si>
  <si>
    <t>MAXIMALWERTE</t>
  </si>
  <si>
    <t>am nächsten an 20V</t>
  </si>
  <si>
    <t>|Delta(20-U_{max})|</t>
  </si>
  <si>
    <t>Delta(20-U_{max})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</si>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</sst>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 vertical="center" wrapText="1"/>
    </xf>
    <xf numFmtId="165" fontId="2" fillId="0" borderId="20" xfId="0" applyNumberFormat="1" applyFont="1" applyBorder="1" applyAlignment="1">
      <alignment horizontal="center" vertical="center" wrapText="1"/>
    </xf>
    <xf numFmtId="0" fontId="0" fillId="0" borderId="0" xfId="0" applyBorder="1"/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1" fillId="0" borderId="0" xfId="0" applyFont="1"/>
    <xf numFmtId="2" fontId="2" fillId="0" borderId="12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 wrapText="1"/>
    </xf>
    <xf numFmtId="1" fontId="2" fillId="0" borderId="22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1" fontId="2" fillId="0" borderId="25" xfId="0" applyNumberFormat="1" applyFont="1" applyBorder="1" applyAlignment="1">
      <alignment horizontal="center" vertical="center" wrapText="1"/>
    </xf>
    <xf numFmtId="164" fontId="2" fillId="0" borderId="2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6" xfId="0" applyFont="1" applyBorder="1"/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10"/>
  <sheetViews>
    <sheetView topLeftCell="AB1" workbookViewId="0">
      <selection activeCell="AO9" sqref="AO9"/>
    </sheetView>
  </sheetViews>
  <sheetFormatPr baseColWidth="10" defaultColWidth="8.7265625" defaultRowHeight="14.5" x14ac:dyDescent="0.35"/>
  <cols>
    <col min="2" max="2" width="19.7265625" customWidth="1"/>
    <col min="3" max="3" width="7.08984375" bestFit="1" customWidth="1"/>
    <col min="4" max="4" width="10.26953125" bestFit="1" customWidth="1"/>
    <col min="5" max="5" width="5.26953125" customWidth="1"/>
    <col min="6" max="6" width="13.453125" bestFit="1" customWidth="1"/>
    <col min="7" max="7" width="8.54296875" bestFit="1" customWidth="1"/>
    <col min="9" max="9" width="19.7265625" customWidth="1"/>
    <col min="10" max="10" width="7.08984375" bestFit="1" customWidth="1"/>
    <col min="11" max="11" width="10.26953125" bestFit="1" customWidth="1"/>
    <col min="12" max="12" width="5.26953125" customWidth="1"/>
    <col min="13" max="13" width="13.453125" bestFit="1" customWidth="1"/>
    <col min="14" max="14" width="8.54296875" bestFit="1" customWidth="1"/>
    <col min="16" max="16" width="19.7265625" customWidth="1"/>
    <col min="17" max="17" width="7.08984375" bestFit="1" customWidth="1"/>
    <col min="18" max="18" width="10.26953125" bestFit="1" customWidth="1"/>
    <col min="19" max="19" width="5.26953125" customWidth="1"/>
    <col min="20" max="20" width="13.453125" bestFit="1" customWidth="1"/>
    <col min="21" max="21" width="8.54296875" bestFit="1" customWidth="1"/>
    <col min="23" max="23" width="19.7265625" customWidth="1"/>
    <col min="24" max="24" width="7.08984375" bestFit="1" customWidth="1"/>
    <col min="25" max="25" width="10.26953125" bestFit="1" customWidth="1"/>
    <col min="26" max="26" width="5.26953125" customWidth="1"/>
    <col min="27" max="27" width="13.453125" bestFit="1" customWidth="1"/>
    <col min="28" max="28" width="8.54296875" bestFit="1" customWidth="1"/>
    <col min="30" max="30" width="19.7265625" customWidth="1"/>
    <col min="31" max="31" width="7.08984375" bestFit="1" customWidth="1"/>
    <col min="32" max="32" width="10.26953125" bestFit="1" customWidth="1"/>
    <col min="33" max="33" width="5.26953125" customWidth="1"/>
    <col min="34" max="34" width="13.453125" bestFit="1" customWidth="1"/>
    <col min="35" max="35" width="8.54296875" bestFit="1" customWidth="1"/>
  </cols>
  <sheetData>
    <row r="2" spans="2:35" x14ac:dyDescent="0.35">
      <c r="B2" s="68" t="s">
        <v>0</v>
      </c>
      <c r="C2" s="68"/>
      <c r="D2" s="68"/>
      <c r="E2" s="36"/>
      <c r="F2" s="36"/>
      <c r="G2" s="36"/>
      <c r="I2" s="36"/>
      <c r="J2" s="36"/>
      <c r="K2" s="36"/>
      <c r="L2" s="36"/>
      <c r="M2" s="36"/>
      <c r="N2" s="36"/>
      <c r="P2" s="36"/>
      <c r="Q2" s="36"/>
      <c r="R2" s="36"/>
      <c r="S2" s="36"/>
      <c r="T2" s="36"/>
      <c r="U2" s="36"/>
      <c r="W2" s="36"/>
      <c r="X2" s="36"/>
      <c r="Y2" s="36"/>
      <c r="Z2" s="36"/>
      <c r="AA2" s="36"/>
      <c r="AB2" s="36"/>
      <c r="AD2" s="36"/>
      <c r="AE2" s="36"/>
      <c r="AF2" s="36"/>
      <c r="AG2" s="36"/>
      <c r="AH2" s="36"/>
      <c r="AI2" s="36"/>
    </row>
    <row r="3" spans="2:35" ht="15" thickBot="1" x14ac:dyDescent="0.4">
      <c r="B3" s="2"/>
      <c r="C3" s="2"/>
      <c r="D3" s="2"/>
      <c r="E3" s="2"/>
      <c r="F3" s="2"/>
      <c r="G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U3" s="2"/>
      <c r="W3" s="2"/>
      <c r="X3" s="2"/>
      <c r="Y3" s="2"/>
      <c r="Z3" s="2"/>
      <c r="AA3" s="2"/>
      <c r="AB3" s="2"/>
      <c r="AD3" s="2"/>
      <c r="AE3" s="2"/>
      <c r="AF3" s="2"/>
      <c r="AG3" s="2"/>
      <c r="AH3" s="2"/>
      <c r="AI3" s="2"/>
    </row>
    <row r="4" spans="2:35" ht="15" thickBot="1" x14ac:dyDescent="0.4">
      <c r="B4" s="3"/>
      <c r="C4" s="69" t="s">
        <v>5</v>
      </c>
      <c r="D4" s="70"/>
      <c r="E4" s="70"/>
      <c r="F4" s="71"/>
      <c r="G4" s="4"/>
      <c r="I4" s="3"/>
      <c r="J4" s="69" t="s">
        <v>5</v>
      </c>
      <c r="K4" s="70"/>
      <c r="L4" s="70"/>
      <c r="M4" s="71"/>
      <c r="N4" s="4"/>
      <c r="P4" s="3"/>
      <c r="Q4" s="69" t="s">
        <v>5</v>
      </c>
      <c r="R4" s="70"/>
      <c r="S4" s="70"/>
      <c r="T4" s="71"/>
      <c r="U4" s="4"/>
      <c r="W4" s="3"/>
      <c r="X4" s="69" t="s">
        <v>5</v>
      </c>
      <c r="Y4" s="70"/>
      <c r="Z4" s="70"/>
      <c r="AA4" s="71"/>
      <c r="AB4" s="4"/>
      <c r="AD4" s="3"/>
      <c r="AE4" s="69" t="s">
        <v>5</v>
      </c>
      <c r="AF4" s="70"/>
      <c r="AG4" s="70"/>
      <c r="AH4" s="71"/>
      <c r="AI4" s="4"/>
    </row>
    <row r="5" spans="2:35" ht="23.5" thickBot="1" x14ac:dyDescent="0.4">
      <c r="B5" s="8" t="s">
        <v>9</v>
      </c>
      <c r="C5" s="11" t="s">
        <v>1</v>
      </c>
      <c r="D5" s="9" t="s">
        <v>4</v>
      </c>
      <c r="E5" s="11" t="s">
        <v>2</v>
      </c>
      <c r="F5" s="11" t="s">
        <v>3</v>
      </c>
      <c r="G5" s="10" t="s">
        <v>8</v>
      </c>
      <c r="I5" s="8" t="s">
        <v>9</v>
      </c>
      <c r="J5" s="11" t="s">
        <v>1</v>
      </c>
      <c r="K5" s="9" t="s">
        <v>4</v>
      </c>
      <c r="L5" s="11" t="s">
        <v>2</v>
      </c>
      <c r="M5" s="11" t="s">
        <v>3</v>
      </c>
      <c r="N5" s="10" t="s">
        <v>8</v>
      </c>
      <c r="P5" s="8" t="s">
        <v>9</v>
      </c>
      <c r="Q5" s="11" t="s">
        <v>1</v>
      </c>
      <c r="R5" s="9" t="s">
        <v>4</v>
      </c>
      <c r="S5" s="11" t="s">
        <v>2</v>
      </c>
      <c r="T5" s="11" t="s">
        <v>3</v>
      </c>
      <c r="U5" s="10" t="s">
        <v>8</v>
      </c>
      <c r="W5" s="8" t="s">
        <v>9</v>
      </c>
      <c r="X5" s="11" t="s">
        <v>1</v>
      </c>
      <c r="Y5" s="9" t="s">
        <v>4</v>
      </c>
      <c r="Z5" s="11" t="s">
        <v>2</v>
      </c>
      <c r="AA5" s="11" t="s">
        <v>3</v>
      </c>
      <c r="AB5" s="10" t="s">
        <v>8</v>
      </c>
      <c r="AD5" s="8" t="s">
        <v>9</v>
      </c>
      <c r="AE5" s="11" t="s">
        <v>1</v>
      </c>
      <c r="AF5" s="9" t="s">
        <v>4</v>
      </c>
      <c r="AG5" s="11" t="s">
        <v>2</v>
      </c>
      <c r="AH5" s="11" t="s">
        <v>3</v>
      </c>
      <c r="AI5" s="10" t="s">
        <v>8</v>
      </c>
    </row>
    <row r="6" spans="2:35" x14ac:dyDescent="0.35">
      <c r="B6" s="6">
        <v>15</v>
      </c>
      <c r="C6" s="12">
        <v>1</v>
      </c>
      <c r="D6" s="26" t="s">
        <v>7</v>
      </c>
      <c r="E6" s="26" t="s">
        <v>7</v>
      </c>
      <c r="F6" s="15">
        <v>39.106999999999999</v>
      </c>
      <c r="G6" s="18" t="s">
        <v>7</v>
      </c>
      <c r="I6" s="21">
        <v>14</v>
      </c>
      <c r="J6" s="12">
        <v>1</v>
      </c>
      <c r="K6" s="26" t="s">
        <v>7</v>
      </c>
      <c r="L6" s="26" t="s">
        <v>7</v>
      </c>
      <c r="M6" s="22">
        <v>36.499899999999997</v>
      </c>
      <c r="N6" s="18" t="s">
        <v>7</v>
      </c>
      <c r="P6" s="21">
        <v>13</v>
      </c>
      <c r="Q6" s="12">
        <v>1</v>
      </c>
      <c r="R6" s="26" t="s">
        <v>7</v>
      </c>
      <c r="S6" s="26" t="s">
        <v>7</v>
      </c>
      <c r="T6" s="22">
        <v>33.892699999999998</v>
      </c>
      <c r="U6" s="18" t="s">
        <v>7</v>
      </c>
      <c r="W6" s="21">
        <v>12</v>
      </c>
      <c r="X6" s="12">
        <v>1</v>
      </c>
      <c r="Y6" s="26" t="s">
        <v>7</v>
      </c>
      <c r="Z6" s="26" t="s">
        <v>7</v>
      </c>
      <c r="AA6" s="22">
        <v>31.285599999999999</v>
      </c>
      <c r="AB6" s="18" t="s">
        <v>7</v>
      </c>
      <c r="AD6" s="21">
        <v>11</v>
      </c>
      <c r="AE6" s="12">
        <v>1</v>
      </c>
      <c r="AF6" s="26" t="s">
        <v>7</v>
      </c>
      <c r="AG6" s="26" t="s">
        <v>7</v>
      </c>
      <c r="AH6" s="22">
        <v>28.6785</v>
      </c>
      <c r="AI6" s="18" t="s">
        <v>7</v>
      </c>
    </row>
    <row r="7" spans="2:35" x14ac:dyDescent="0.35">
      <c r="B7" s="6">
        <v>15</v>
      </c>
      <c r="C7" s="13">
        <v>0.5</v>
      </c>
      <c r="D7" s="27" t="s">
        <v>7</v>
      </c>
      <c r="E7" s="27" t="s">
        <v>7</v>
      </c>
      <c r="F7" s="16">
        <v>31.9831</v>
      </c>
      <c r="G7" s="19" t="s">
        <v>7</v>
      </c>
      <c r="I7" s="6">
        <v>14</v>
      </c>
      <c r="J7" s="13">
        <v>0.5</v>
      </c>
      <c r="K7" s="27" t="s">
        <v>7</v>
      </c>
      <c r="L7" s="27" t="s">
        <v>7</v>
      </c>
      <c r="M7" s="23">
        <v>29.850899999999999</v>
      </c>
      <c r="N7" s="19" t="s">
        <v>7</v>
      </c>
      <c r="P7" s="6">
        <v>13</v>
      </c>
      <c r="Q7" s="13">
        <v>0.5</v>
      </c>
      <c r="R7" s="27" t="s">
        <v>7</v>
      </c>
      <c r="S7" s="27" t="s">
        <v>7</v>
      </c>
      <c r="T7" s="23">
        <v>27.718699999999998</v>
      </c>
      <c r="U7" s="19" t="s">
        <v>7</v>
      </c>
      <c r="W7" s="6">
        <v>12</v>
      </c>
      <c r="X7" s="13">
        <v>0.5</v>
      </c>
      <c r="Y7" s="27" t="s">
        <v>7</v>
      </c>
      <c r="Z7" s="27" t="s">
        <v>7</v>
      </c>
      <c r="AA7" s="23">
        <v>25.586500000000001</v>
      </c>
      <c r="AB7" s="19" t="s">
        <v>7</v>
      </c>
      <c r="AD7" s="6">
        <v>11</v>
      </c>
      <c r="AE7" s="13">
        <v>0.5</v>
      </c>
      <c r="AF7" s="27" t="s">
        <v>7</v>
      </c>
      <c r="AG7" s="27" t="s">
        <v>7</v>
      </c>
      <c r="AH7" s="23">
        <v>23.4543</v>
      </c>
      <c r="AI7" s="19" t="s">
        <v>7</v>
      </c>
    </row>
    <row r="8" spans="2:35" x14ac:dyDescent="0.35">
      <c r="B8" s="6">
        <v>15</v>
      </c>
      <c r="C8" s="13">
        <v>0.3</v>
      </c>
      <c r="D8" s="27" t="s">
        <v>7</v>
      </c>
      <c r="E8" s="27" t="s">
        <v>7</v>
      </c>
      <c r="F8" s="16">
        <v>29.183700000000002</v>
      </c>
      <c r="G8" s="19" t="s">
        <v>7</v>
      </c>
      <c r="I8" s="6">
        <v>14</v>
      </c>
      <c r="J8" s="13">
        <v>0.3</v>
      </c>
      <c r="K8" s="27" t="s">
        <v>7</v>
      </c>
      <c r="L8" s="27" t="s">
        <v>7</v>
      </c>
      <c r="M8" s="23">
        <v>27.238099999999999</v>
      </c>
      <c r="N8" s="19" t="s">
        <v>7</v>
      </c>
      <c r="P8" s="6">
        <v>13</v>
      </c>
      <c r="Q8" s="13">
        <v>0.3</v>
      </c>
      <c r="R8" s="27" t="s">
        <v>7</v>
      </c>
      <c r="S8" s="27" t="s">
        <v>7</v>
      </c>
      <c r="T8" s="23">
        <v>25.2925</v>
      </c>
      <c r="U8" s="19" t="s">
        <v>7</v>
      </c>
      <c r="W8" s="6">
        <v>12</v>
      </c>
      <c r="X8" s="13">
        <v>0.3</v>
      </c>
      <c r="Y8" s="27" t="s">
        <v>7</v>
      </c>
      <c r="Z8" s="27" t="s">
        <v>7</v>
      </c>
      <c r="AA8" s="23">
        <v>23.347000000000001</v>
      </c>
      <c r="AB8" s="19" t="s">
        <v>7</v>
      </c>
      <c r="AD8" s="6">
        <v>11</v>
      </c>
      <c r="AE8" s="13">
        <v>0.3</v>
      </c>
      <c r="AF8" s="27" t="s">
        <v>7</v>
      </c>
      <c r="AG8" s="27" t="s">
        <v>7</v>
      </c>
      <c r="AH8" s="23">
        <v>21.401399999999999</v>
      </c>
      <c r="AI8" s="19" t="s">
        <v>7</v>
      </c>
    </row>
    <row r="9" spans="2:35" x14ac:dyDescent="0.35">
      <c r="B9" s="6">
        <v>15</v>
      </c>
      <c r="C9" s="13">
        <v>0.1</v>
      </c>
      <c r="D9" s="27" t="s">
        <v>7</v>
      </c>
      <c r="E9" s="27" t="s">
        <v>7</v>
      </c>
      <c r="F9" s="16">
        <v>26.470800000000001</v>
      </c>
      <c r="G9" s="19" t="s">
        <v>7</v>
      </c>
      <c r="I9" s="6">
        <v>14</v>
      </c>
      <c r="J9" s="13">
        <v>0.1</v>
      </c>
      <c r="K9" s="27" t="s">
        <v>7</v>
      </c>
      <c r="L9" s="27" t="s">
        <v>7</v>
      </c>
      <c r="M9" s="23">
        <v>24.706099999999999</v>
      </c>
      <c r="N9" s="19" t="s">
        <v>7</v>
      </c>
      <c r="P9" s="6">
        <v>13</v>
      </c>
      <c r="Q9" s="13">
        <v>0.1</v>
      </c>
      <c r="R9" s="27" t="s">
        <v>7</v>
      </c>
      <c r="S9" s="27" t="s">
        <v>7</v>
      </c>
      <c r="T9" s="23">
        <v>22.941400000000002</v>
      </c>
      <c r="U9" s="19" t="s">
        <v>7</v>
      </c>
      <c r="W9" s="6">
        <v>12</v>
      </c>
      <c r="X9" s="13">
        <v>0.1</v>
      </c>
      <c r="Y9" s="27" t="s">
        <v>7</v>
      </c>
      <c r="Z9" s="27" t="s">
        <v>7</v>
      </c>
      <c r="AA9" s="23">
        <v>21.176600000000001</v>
      </c>
      <c r="AB9" s="19" t="s">
        <v>7</v>
      </c>
      <c r="AD9" s="6">
        <v>11</v>
      </c>
      <c r="AE9" s="13">
        <v>0.1</v>
      </c>
      <c r="AF9" s="27" t="s">
        <v>7</v>
      </c>
      <c r="AG9" s="27" t="s">
        <v>7</v>
      </c>
      <c r="AH9" s="23">
        <v>19.411899999999999</v>
      </c>
      <c r="AI9" s="19" t="s">
        <v>10</v>
      </c>
    </row>
    <row r="10" spans="2:35" ht="15" thickBot="1" x14ac:dyDescent="0.4">
      <c r="B10" s="7">
        <v>15</v>
      </c>
      <c r="C10" s="14">
        <v>0.05</v>
      </c>
      <c r="D10" s="28" t="s">
        <v>7</v>
      </c>
      <c r="E10" s="28" t="s">
        <v>7</v>
      </c>
      <c r="F10" s="17">
        <v>27.350999999999999</v>
      </c>
      <c r="G10" s="20" t="s">
        <v>7</v>
      </c>
      <c r="I10" s="7">
        <v>14</v>
      </c>
      <c r="J10" s="14">
        <v>0.05</v>
      </c>
      <c r="K10" s="28" t="s">
        <v>7</v>
      </c>
      <c r="L10" s="28" t="s">
        <v>7</v>
      </c>
      <c r="M10" s="24">
        <v>25.5276</v>
      </c>
      <c r="N10" s="20" t="s">
        <v>7</v>
      </c>
      <c r="P10" s="7">
        <v>13</v>
      </c>
      <c r="Q10" s="14">
        <v>0.05</v>
      </c>
      <c r="R10" s="28" t="s">
        <v>7</v>
      </c>
      <c r="S10" s="28" t="s">
        <v>7</v>
      </c>
      <c r="T10" s="24">
        <v>23.7042</v>
      </c>
      <c r="U10" s="20" t="s">
        <v>7</v>
      </c>
      <c r="W10" s="7">
        <v>12</v>
      </c>
      <c r="X10" s="14">
        <v>0.05</v>
      </c>
      <c r="Y10" s="28" t="s">
        <v>7</v>
      </c>
      <c r="Z10" s="28" t="s">
        <v>7</v>
      </c>
      <c r="AA10" s="24">
        <v>21.880800000000001</v>
      </c>
      <c r="AB10" s="20" t="s">
        <v>7</v>
      </c>
      <c r="AD10" s="7">
        <v>11</v>
      </c>
      <c r="AE10" s="14">
        <v>0.05</v>
      </c>
      <c r="AF10" s="28" t="s">
        <v>7</v>
      </c>
      <c r="AG10" s="28" t="s">
        <v>7</v>
      </c>
      <c r="AH10" s="24">
        <v>20.057400000000001</v>
      </c>
      <c r="AI10" s="20" t="s">
        <v>7</v>
      </c>
    </row>
  </sheetData>
  <mergeCells count="6">
    <mergeCell ref="B2:D2"/>
    <mergeCell ref="AE4:AH4"/>
    <mergeCell ref="X4:AA4"/>
    <mergeCell ref="Q4:T4"/>
    <mergeCell ref="J4:M4"/>
    <mergeCell ref="C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E46B-81C5-47F6-92CE-939A2245EDD7}">
  <dimension ref="B2:P1048576"/>
  <sheetViews>
    <sheetView tabSelected="1" topLeftCell="A156" zoomScale="55" zoomScaleNormal="55" workbookViewId="0">
      <selection activeCell="U169" sqref="U169"/>
    </sheetView>
  </sheetViews>
  <sheetFormatPr baseColWidth="10" defaultColWidth="8.7265625" defaultRowHeight="14.5" x14ac:dyDescent="0.35"/>
  <cols>
    <col min="2" max="2" width="19.7265625" customWidth="1"/>
    <col min="3" max="3" width="7.08984375" bestFit="1" customWidth="1"/>
    <col min="4" max="4" width="10.26953125" bestFit="1" customWidth="1"/>
    <col min="5" max="5" width="6.6328125" customWidth="1"/>
    <col min="6" max="6" width="13.453125" bestFit="1" customWidth="1"/>
    <col min="7" max="7" width="8.54296875" bestFit="1" customWidth="1"/>
    <col min="8" max="8" width="21.6328125" bestFit="1" customWidth="1"/>
    <col min="10" max="10" width="19.7265625" customWidth="1"/>
    <col min="11" max="11" width="7.08984375" bestFit="1" customWidth="1"/>
    <col min="12" max="12" width="10.26953125" bestFit="1" customWidth="1"/>
    <col min="13" max="13" width="6.6328125" customWidth="1"/>
    <col min="14" max="14" width="13.453125" bestFit="1" customWidth="1"/>
    <col min="15" max="15" width="8.54296875" bestFit="1" customWidth="1"/>
    <col min="16" max="16" width="21.6328125" bestFit="1" customWidth="1"/>
  </cols>
  <sheetData>
    <row r="2" spans="2:16" x14ac:dyDescent="0.35">
      <c r="B2" s="68" t="s">
        <v>0</v>
      </c>
      <c r="C2" s="68"/>
      <c r="D2" s="68"/>
      <c r="E2" s="36"/>
      <c r="F2" s="36"/>
      <c r="G2" s="36"/>
      <c r="H2" s="36"/>
      <c r="I2" s="29"/>
      <c r="J2" s="36"/>
      <c r="K2" s="36"/>
      <c r="L2" s="36"/>
      <c r="M2" s="36"/>
      <c r="N2" s="36"/>
      <c r="O2" s="36"/>
      <c r="P2" s="36"/>
    </row>
    <row r="3" spans="2:16" ht="15" thickBot="1" x14ac:dyDescent="0.4"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</row>
    <row r="4" spans="2:16" ht="15" thickBot="1" x14ac:dyDescent="0.4">
      <c r="B4" s="3"/>
      <c r="C4" s="69" t="s">
        <v>5</v>
      </c>
      <c r="D4" s="70"/>
      <c r="E4" s="70"/>
      <c r="F4" s="71"/>
      <c r="G4" s="4"/>
      <c r="H4" s="54"/>
      <c r="J4" s="3"/>
      <c r="K4" s="69" t="s">
        <v>5</v>
      </c>
      <c r="L4" s="70"/>
      <c r="M4" s="70"/>
      <c r="N4" s="71"/>
      <c r="O4" s="4"/>
      <c r="P4" s="54"/>
    </row>
    <row r="5" spans="2:16" ht="23.5" thickBot="1" x14ac:dyDescent="0.4">
      <c r="B5" s="50" t="s">
        <v>6</v>
      </c>
      <c r="C5" s="51" t="s">
        <v>1</v>
      </c>
      <c r="D5" s="52" t="s">
        <v>4</v>
      </c>
      <c r="E5" s="51" t="s">
        <v>2</v>
      </c>
      <c r="F5" s="51" t="s">
        <v>3</v>
      </c>
      <c r="G5" s="53" t="s">
        <v>8</v>
      </c>
      <c r="H5" s="11" t="s">
        <v>13</v>
      </c>
      <c r="J5" s="50" t="s">
        <v>6</v>
      </c>
      <c r="K5" s="51" t="s">
        <v>1</v>
      </c>
      <c r="L5" s="52" t="s">
        <v>4</v>
      </c>
      <c r="M5" s="51" t="s">
        <v>2</v>
      </c>
      <c r="N5" s="51" t="s">
        <v>3</v>
      </c>
      <c r="O5" s="53" t="s">
        <v>8</v>
      </c>
      <c r="P5" s="51" t="s">
        <v>14</v>
      </c>
    </row>
    <row r="6" spans="2:16" x14ac:dyDescent="0.35">
      <c r="B6" s="21">
        <v>15</v>
      </c>
      <c r="C6" s="30">
        <v>1</v>
      </c>
      <c r="D6" s="33">
        <v>10</v>
      </c>
      <c r="E6" s="33">
        <v>11</v>
      </c>
      <c r="F6" s="15">
        <v>21.278400000000001</v>
      </c>
      <c r="G6" s="45" t="s">
        <v>7</v>
      </c>
      <c r="H6" s="60">
        <f>ABS(20-F6)</f>
        <v>1.2784000000000013</v>
      </c>
      <c r="J6" s="21">
        <v>14</v>
      </c>
      <c r="K6" s="30">
        <v>1</v>
      </c>
      <c r="L6" s="33">
        <v>10</v>
      </c>
      <c r="M6" s="33">
        <v>11</v>
      </c>
      <c r="N6" s="15">
        <v>19.8598</v>
      </c>
      <c r="O6" s="64" t="s">
        <v>10</v>
      </c>
      <c r="P6" s="60">
        <f>20-N6</f>
        <v>0.1402000000000001</v>
      </c>
    </row>
    <row r="7" spans="2:16" x14ac:dyDescent="0.35">
      <c r="B7" s="6">
        <v>15</v>
      </c>
      <c r="C7" s="31">
        <v>1</v>
      </c>
      <c r="D7" s="34">
        <v>10</v>
      </c>
      <c r="E7" s="34">
        <v>12</v>
      </c>
      <c r="F7" s="16">
        <v>21.056100000000001</v>
      </c>
      <c r="G7" s="46" t="s">
        <v>7</v>
      </c>
      <c r="H7" s="61">
        <f t="shared" ref="H7:H70" si="0">ABS(20-F7)</f>
        <v>1.0561000000000007</v>
      </c>
      <c r="J7" s="6">
        <v>14</v>
      </c>
      <c r="K7" s="31">
        <v>1</v>
      </c>
      <c r="L7" s="34">
        <v>10</v>
      </c>
      <c r="M7" s="34">
        <v>12</v>
      </c>
      <c r="N7" s="16">
        <v>19.6524</v>
      </c>
      <c r="O7" s="65" t="s">
        <v>10</v>
      </c>
      <c r="P7" s="61">
        <f t="shared" ref="P7:P70" si="1">20-N7</f>
        <v>0.34759999999999991</v>
      </c>
    </row>
    <row r="8" spans="2:16" x14ac:dyDescent="0.35">
      <c r="B8" s="6">
        <v>15</v>
      </c>
      <c r="C8" s="31">
        <v>1</v>
      </c>
      <c r="D8" s="34">
        <v>10</v>
      </c>
      <c r="E8" s="34">
        <v>13</v>
      </c>
      <c r="F8" s="16">
        <v>21.334499999999998</v>
      </c>
      <c r="G8" s="46" t="s">
        <v>7</v>
      </c>
      <c r="H8" s="61">
        <f t="shared" si="0"/>
        <v>1.3344999999999985</v>
      </c>
      <c r="J8" s="6">
        <v>14</v>
      </c>
      <c r="K8" s="31">
        <v>1</v>
      </c>
      <c r="L8" s="34">
        <v>10</v>
      </c>
      <c r="M8" s="34">
        <v>13</v>
      </c>
      <c r="N8" s="16">
        <v>19.912199999999999</v>
      </c>
      <c r="O8" s="65" t="s">
        <v>10</v>
      </c>
      <c r="P8" s="61">
        <f t="shared" si="1"/>
        <v>8.7800000000001432E-2</v>
      </c>
    </row>
    <row r="9" spans="2:16" x14ac:dyDescent="0.35">
      <c r="B9" s="6">
        <v>15</v>
      </c>
      <c r="C9" s="31">
        <v>1</v>
      </c>
      <c r="D9" s="34">
        <v>10</v>
      </c>
      <c r="E9" s="34">
        <v>14</v>
      </c>
      <c r="F9" s="16">
        <v>21.879100000000001</v>
      </c>
      <c r="G9" s="46" t="s">
        <v>7</v>
      </c>
      <c r="H9" s="61">
        <f t="shared" si="0"/>
        <v>1.8791000000000011</v>
      </c>
      <c r="J9" s="6">
        <v>14</v>
      </c>
      <c r="K9" s="31">
        <v>1</v>
      </c>
      <c r="L9" s="34">
        <v>10</v>
      </c>
      <c r="M9" s="34">
        <v>14</v>
      </c>
      <c r="N9" s="16">
        <v>20.420400000000001</v>
      </c>
      <c r="O9" s="65" t="s">
        <v>7</v>
      </c>
      <c r="P9" s="61">
        <f t="shared" si="1"/>
        <v>-0.42040000000000077</v>
      </c>
    </row>
    <row r="10" spans="2:16" x14ac:dyDescent="0.35">
      <c r="B10" s="37">
        <v>15</v>
      </c>
      <c r="C10" s="38">
        <v>1</v>
      </c>
      <c r="D10" s="39">
        <v>10</v>
      </c>
      <c r="E10" s="39">
        <v>15</v>
      </c>
      <c r="F10" s="40">
        <v>23.4206</v>
      </c>
      <c r="G10" s="47" t="s">
        <v>7</v>
      </c>
      <c r="H10" s="62">
        <f t="shared" si="0"/>
        <v>3.4206000000000003</v>
      </c>
      <c r="J10" s="37">
        <v>14</v>
      </c>
      <c r="K10" s="38">
        <v>1</v>
      </c>
      <c r="L10" s="39">
        <v>10</v>
      </c>
      <c r="M10" s="39">
        <v>15</v>
      </c>
      <c r="N10" s="40">
        <v>21.859300000000001</v>
      </c>
      <c r="O10" s="66" t="s">
        <v>7</v>
      </c>
      <c r="P10" s="62">
        <f t="shared" si="1"/>
        <v>-1.8593000000000011</v>
      </c>
    </row>
    <row r="11" spans="2:16" s="25" customFormat="1" x14ac:dyDescent="0.35">
      <c r="B11" s="41">
        <v>15</v>
      </c>
      <c r="C11" s="42">
        <v>1</v>
      </c>
      <c r="D11" s="43">
        <v>20</v>
      </c>
      <c r="E11" s="43">
        <v>11</v>
      </c>
      <c r="F11" s="44">
        <v>21.145600000000002</v>
      </c>
      <c r="G11" s="48" t="s">
        <v>7</v>
      </c>
      <c r="H11" s="61">
        <f t="shared" si="0"/>
        <v>1.1456000000000017</v>
      </c>
      <c r="J11" s="41">
        <v>14</v>
      </c>
      <c r="K11" s="42">
        <v>1</v>
      </c>
      <c r="L11" s="43">
        <v>20</v>
      </c>
      <c r="M11" s="43">
        <v>11</v>
      </c>
      <c r="N11" s="44">
        <v>19.735900000000001</v>
      </c>
      <c r="O11" s="48" t="s">
        <v>10</v>
      </c>
      <c r="P11" s="61">
        <f t="shared" si="1"/>
        <v>0.26409999999999911</v>
      </c>
    </row>
    <row r="12" spans="2:16" x14ac:dyDescent="0.35">
      <c r="B12" s="6">
        <v>15</v>
      </c>
      <c r="C12" s="31">
        <v>1</v>
      </c>
      <c r="D12" s="34">
        <v>20</v>
      </c>
      <c r="E12" s="34">
        <v>12</v>
      </c>
      <c r="F12" s="16">
        <v>21.145900000000001</v>
      </c>
      <c r="G12" s="46" t="s">
        <v>7</v>
      </c>
      <c r="H12" s="61">
        <f t="shared" si="0"/>
        <v>1.145900000000001</v>
      </c>
      <c r="J12" s="6">
        <v>14</v>
      </c>
      <c r="K12" s="31">
        <v>1</v>
      </c>
      <c r="L12" s="34">
        <v>20</v>
      </c>
      <c r="M12" s="34">
        <v>12</v>
      </c>
      <c r="N12" s="16">
        <v>19.7362</v>
      </c>
      <c r="O12" s="46" t="s">
        <v>10</v>
      </c>
      <c r="P12" s="61">
        <f t="shared" si="1"/>
        <v>0.26379999999999981</v>
      </c>
    </row>
    <row r="13" spans="2:16" x14ac:dyDescent="0.35">
      <c r="B13" s="6">
        <v>15</v>
      </c>
      <c r="C13" s="31">
        <v>1</v>
      </c>
      <c r="D13" s="34">
        <v>20</v>
      </c>
      <c r="E13" s="34">
        <v>13</v>
      </c>
      <c r="F13" s="16">
        <v>21.391999999999999</v>
      </c>
      <c r="G13" s="46" t="s">
        <v>7</v>
      </c>
      <c r="H13" s="61">
        <f t="shared" si="0"/>
        <v>1.3919999999999995</v>
      </c>
      <c r="J13" s="6">
        <v>14</v>
      </c>
      <c r="K13" s="31">
        <v>1</v>
      </c>
      <c r="L13" s="34">
        <v>20</v>
      </c>
      <c r="M13" s="34">
        <v>13</v>
      </c>
      <c r="N13" s="16">
        <v>19.965900000000001</v>
      </c>
      <c r="O13" s="46" t="s">
        <v>10</v>
      </c>
      <c r="P13" s="61">
        <f t="shared" si="1"/>
        <v>3.4099999999998687E-2</v>
      </c>
    </row>
    <row r="14" spans="2:16" x14ac:dyDescent="0.35">
      <c r="B14" s="6">
        <v>15</v>
      </c>
      <c r="C14" s="31">
        <v>1</v>
      </c>
      <c r="D14" s="34">
        <v>20</v>
      </c>
      <c r="E14" s="34">
        <v>14</v>
      </c>
      <c r="F14" s="16">
        <v>22.4968</v>
      </c>
      <c r="G14" s="46" t="s">
        <v>7</v>
      </c>
      <c r="H14" s="61">
        <f t="shared" si="0"/>
        <v>2.4968000000000004</v>
      </c>
      <c r="J14" s="6">
        <v>14</v>
      </c>
      <c r="K14" s="31">
        <v>1</v>
      </c>
      <c r="L14" s="34">
        <v>20</v>
      </c>
      <c r="M14" s="34">
        <v>14</v>
      </c>
      <c r="N14" s="16">
        <v>20.997</v>
      </c>
      <c r="O14" s="46" t="s">
        <v>7</v>
      </c>
      <c r="P14" s="61">
        <f t="shared" si="1"/>
        <v>-0.99699999999999989</v>
      </c>
    </row>
    <row r="15" spans="2:16" x14ac:dyDescent="0.35">
      <c r="B15" s="37">
        <v>15</v>
      </c>
      <c r="C15" s="38">
        <v>1</v>
      </c>
      <c r="D15" s="39">
        <v>20</v>
      </c>
      <c r="E15" s="39">
        <v>15</v>
      </c>
      <c r="F15" s="40">
        <v>23.920100000000001</v>
      </c>
      <c r="G15" s="47" t="s">
        <v>7</v>
      </c>
      <c r="H15" s="62">
        <f t="shared" si="0"/>
        <v>3.9201000000000015</v>
      </c>
      <c r="J15" s="37">
        <v>14</v>
      </c>
      <c r="K15" s="38">
        <v>1</v>
      </c>
      <c r="L15" s="39">
        <v>20</v>
      </c>
      <c r="M15" s="39">
        <v>15</v>
      </c>
      <c r="N15" s="40">
        <v>22.325399999999998</v>
      </c>
      <c r="O15" s="47" t="s">
        <v>7</v>
      </c>
      <c r="P15" s="62">
        <f t="shared" si="1"/>
        <v>-2.3253999999999984</v>
      </c>
    </row>
    <row r="16" spans="2:16" x14ac:dyDescent="0.35">
      <c r="B16" s="41">
        <v>15</v>
      </c>
      <c r="C16" s="42">
        <v>1</v>
      </c>
      <c r="D16" s="43">
        <v>30</v>
      </c>
      <c r="E16" s="43">
        <v>11</v>
      </c>
      <c r="F16" s="44">
        <v>21.183</v>
      </c>
      <c r="G16" s="48" t="s">
        <v>7</v>
      </c>
      <c r="H16" s="61">
        <f t="shared" si="0"/>
        <v>1.1829999999999998</v>
      </c>
      <c r="J16" s="41">
        <v>14</v>
      </c>
      <c r="K16" s="42">
        <v>1</v>
      </c>
      <c r="L16" s="43">
        <v>30</v>
      </c>
      <c r="M16" s="43">
        <v>11</v>
      </c>
      <c r="N16" s="44">
        <v>19.770800000000001</v>
      </c>
      <c r="O16" s="48" t="s">
        <v>10</v>
      </c>
      <c r="P16" s="61">
        <f t="shared" si="1"/>
        <v>0.22919999999999874</v>
      </c>
    </row>
    <row r="17" spans="2:16" x14ac:dyDescent="0.35">
      <c r="B17" s="6">
        <v>15</v>
      </c>
      <c r="C17" s="31">
        <v>1</v>
      </c>
      <c r="D17" s="34">
        <v>30</v>
      </c>
      <c r="E17" s="34">
        <v>12</v>
      </c>
      <c r="F17" s="16">
        <v>21.168600000000001</v>
      </c>
      <c r="G17" s="46" t="s">
        <v>7</v>
      </c>
      <c r="H17" s="61">
        <f t="shared" si="0"/>
        <v>1.1686000000000014</v>
      </c>
      <c r="J17" s="6">
        <v>14</v>
      </c>
      <c r="K17" s="31">
        <v>1</v>
      </c>
      <c r="L17" s="34">
        <v>30</v>
      </c>
      <c r="M17" s="34">
        <v>12</v>
      </c>
      <c r="N17" s="16">
        <v>19.757400000000001</v>
      </c>
      <c r="O17" s="46" t="s">
        <v>10</v>
      </c>
      <c r="P17" s="61">
        <f t="shared" si="1"/>
        <v>0.24259999999999948</v>
      </c>
    </row>
    <row r="18" spans="2:16" x14ac:dyDescent="0.35">
      <c r="B18" s="6">
        <v>15</v>
      </c>
      <c r="C18" s="31">
        <v>1</v>
      </c>
      <c r="D18" s="34">
        <v>30</v>
      </c>
      <c r="E18" s="34">
        <v>13</v>
      </c>
      <c r="F18" s="16">
        <v>21.750299999999999</v>
      </c>
      <c r="G18" s="46" t="s">
        <v>7</v>
      </c>
      <c r="H18" s="61">
        <f t="shared" si="0"/>
        <v>1.7502999999999993</v>
      </c>
      <c r="J18" s="6">
        <v>14</v>
      </c>
      <c r="K18" s="31">
        <v>1</v>
      </c>
      <c r="L18" s="34">
        <v>30</v>
      </c>
      <c r="M18" s="34">
        <v>13</v>
      </c>
      <c r="N18" s="16">
        <v>20.3002</v>
      </c>
      <c r="O18" s="46" t="s">
        <v>7</v>
      </c>
      <c r="P18" s="61">
        <f t="shared" si="1"/>
        <v>-0.30020000000000024</v>
      </c>
    </row>
    <row r="19" spans="2:16" x14ac:dyDescent="0.35">
      <c r="B19" s="6">
        <v>15</v>
      </c>
      <c r="C19" s="31">
        <v>1</v>
      </c>
      <c r="D19" s="34">
        <v>30</v>
      </c>
      <c r="E19" s="34">
        <v>14</v>
      </c>
      <c r="F19" s="16">
        <v>22.299199999999999</v>
      </c>
      <c r="G19" s="46" t="s">
        <v>7</v>
      </c>
      <c r="H19" s="61">
        <f t="shared" si="0"/>
        <v>2.299199999999999</v>
      </c>
      <c r="J19" s="6">
        <v>14</v>
      </c>
      <c r="K19" s="31">
        <v>1</v>
      </c>
      <c r="L19" s="34">
        <v>30</v>
      </c>
      <c r="M19" s="34">
        <v>14</v>
      </c>
      <c r="N19" s="16">
        <v>20.8126</v>
      </c>
      <c r="O19" s="46" t="s">
        <v>7</v>
      </c>
      <c r="P19" s="61">
        <f t="shared" si="1"/>
        <v>-0.81259999999999977</v>
      </c>
    </row>
    <row r="20" spans="2:16" x14ac:dyDescent="0.35">
      <c r="B20" s="37">
        <v>15</v>
      </c>
      <c r="C20" s="38">
        <v>1</v>
      </c>
      <c r="D20" s="39">
        <v>30</v>
      </c>
      <c r="E20" s="39">
        <v>15</v>
      </c>
      <c r="F20" s="40">
        <v>24.040500000000002</v>
      </c>
      <c r="G20" s="47" t="s">
        <v>7</v>
      </c>
      <c r="H20" s="62">
        <f t="shared" si="0"/>
        <v>4.0405000000000015</v>
      </c>
      <c r="J20" s="37">
        <v>14</v>
      </c>
      <c r="K20" s="38">
        <v>1</v>
      </c>
      <c r="L20" s="39">
        <v>30</v>
      </c>
      <c r="M20" s="39">
        <v>15</v>
      </c>
      <c r="N20" s="40">
        <v>22.437799999999999</v>
      </c>
      <c r="O20" s="47" t="s">
        <v>7</v>
      </c>
      <c r="P20" s="62">
        <f t="shared" si="1"/>
        <v>-2.4377999999999993</v>
      </c>
    </row>
    <row r="21" spans="2:16" x14ac:dyDescent="0.35">
      <c r="B21" s="41">
        <v>15</v>
      </c>
      <c r="C21" s="42">
        <v>1</v>
      </c>
      <c r="D21" s="43">
        <v>40</v>
      </c>
      <c r="E21" s="43">
        <v>11</v>
      </c>
      <c r="F21" s="44">
        <v>21.2818</v>
      </c>
      <c r="G21" s="48" t="s">
        <v>7</v>
      </c>
      <c r="H21" s="61">
        <f t="shared" si="0"/>
        <v>1.2818000000000005</v>
      </c>
      <c r="J21" s="41">
        <v>14</v>
      </c>
      <c r="K21" s="42">
        <v>1</v>
      </c>
      <c r="L21" s="43">
        <v>40</v>
      </c>
      <c r="M21" s="43">
        <v>11</v>
      </c>
      <c r="N21" s="44">
        <v>19.863</v>
      </c>
      <c r="O21" s="48" t="s">
        <v>10</v>
      </c>
      <c r="P21" s="61">
        <f t="shared" si="1"/>
        <v>0.13700000000000045</v>
      </c>
    </row>
    <row r="22" spans="2:16" x14ac:dyDescent="0.35">
      <c r="B22" s="6">
        <v>15</v>
      </c>
      <c r="C22" s="31">
        <v>1</v>
      </c>
      <c r="D22" s="34">
        <v>40</v>
      </c>
      <c r="E22" s="34">
        <v>12</v>
      </c>
      <c r="F22" s="16">
        <v>21.3066</v>
      </c>
      <c r="G22" s="46" t="s">
        <v>7</v>
      </c>
      <c r="H22" s="61">
        <f t="shared" si="0"/>
        <v>1.3065999999999995</v>
      </c>
      <c r="J22" s="6">
        <v>14</v>
      </c>
      <c r="K22" s="31">
        <v>1</v>
      </c>
      <c r="L22" s="34">
        <v>40</v>
      </c>
      <c r="M22" s="34">
        <v>12</v>
      </c>
      <c r="N22" s="16">
        <v>19.886199999999999</v>
      </c>
      <c r="O22" s="46" t="s">
        <v>10</v>
      </c>
      <c r="P22" s="61">
        <f t="shared" si="1"/>
        <v>0.11380000000000123</v>
      </c>
    </row>
    <row r="23" spans="2:16" x14ac:dyDescent="0.35">
      <c r="B23" s="6">
        <v>15</v>
      </c>
      <c r="C23" s="31">
        <v>1</v>
      </c>
      <c r="D23" s="34">
        <v>40</v>
      </c>
      <c r="E23" s="34">
        <v>13</v>
      </c>
      <c r="F23" s="16">
        <v>21.845099999999999</v>
      </c>
      <c r="G23" s="46" t="s">
        <v>7</v>
      </c>
      <c r="H23" s="61">
        <f t="shared" si="0"/>
        <v>1.8450999999999986</v>
      </c>
      <c r="J23" s="6">
        <v>14</v>
      </c>
      <c r="K23" s="31">
        <v>1</v>
      </c>
      <c r="L23" s="34">
        <v>40</v>
      </c>
      <c r="M23" s="34">
        <v>13</v>
      </c>
      <c r="N23" s="16">
        <v>20.3887</v>
      </c>
      <c r="O23" s="46" t="s">
        <v>7</v>
      </c>
      <c r="P23" s="61">
        <f t="shared" si="1"/>
        <v>-0.38870000000000005</v>
      </c>
    </row>
    <row r="24" spans="2:16" x14ac:dyDescent="0.35">
      <c r="B24" s="6">
        <v>15</v>
      </c>
      <c r="C24" s="31">
        <v>1</v>
      </c>
      <c r="D24" s="34">
        <v>40</v>
      </c>
      <c r="E24" s="34">
        <v>14</v>
      </c>
      <c r="F24" s="16">
        <v>22.6249</v>
      </c>
      <c r="G24" s="46" t="s">
        <v>7</v>
      </c>
      <c r="H24" s="61">
        <f t="shared" si="0"/>
        <v>2.6249000000000002</v>
      </c>
      <c r="J24" s="6">
        <v>14</v>
      </c>
      <c r="K24" s="31">
        <v>1</v>
      </c>
      <c r="L24" s="34">
        <v>40</v>
      </c>
      <c r="M24" s="34">
        <v>14</v>
      </c>
      <c r="N24" s="16">
        <v>21.116599999999998</v>
      </c>
      <c r="O24" s="46" t="s">
        <v>7</v>
      </c>
      <c r="P24" s="61">
        <f t="shared" si="1"/>
        <v>-1.1165999999999983</v>
      </c>
    </row>
    <row r="25" spans="2:16" x14ac:dyDescent="0.35">
      <c r="B25" s="37">
        <v>15</v>
      </c>
      <c r="C25" s="38">
        <v>1</v>
      </c>
      <c r="D25" s="39">
        <v>40</v>
      </c>
      <c r="E25" s="39">
        <v>15</v>
      </c>
      <c r="F25" s="40">
        <v>24.113900000000001</v>
      </c>
      <c r="G25" s="47" t="s">
        <v>7</v>
      </c>
      <c r="H25" s="62">
        <f t="shared" si="0"/>
        <v>4.113900000000001</v>
      </c>
      <c r="J25" s="37">
        <v>14</v>
      </c>
      <c r="K25" s="38">
        <v>1</v>
      </c>
      <c r="L25" s="39">
        <v>40</v>
      </c>
      <c r="M25" s="39">
        <v>15</v>
      </c>
      <c r="N25" s="40">
        <v>22.5063</v>
      </c>
      <c r="O25" s="47" t="s">
        <v>7</v>
      </c>
      <c r="P25" s="62">
        <f t="shared" si="1"/>
        <v>-2.5062999999999995</v>
      </c>
    </row>
    <row r="26" spans="2:16" x14ac:dyDescent="0.35">
      <c r="B26" s="41">
        <v>15</v>
      </c>
      <c r="C26" s="42">
        <v>1</v>
      </c>
      <c r="D26" s="43">
        <v>50</v>
      </c>
      <c r="E26" s="43">
        <v>11</v>
      </c>
      <c r="F26" s="44">
        <v>21.390699999999999</v>
      </c>
      <c r="G26" s="48" t="s">
        <v>7</v>
      </c>
      <c r="H26" s="61">
        <f t="shared" si="0"/>
        <v>1.3906999999999989</v>
      </c>
      <c r="J26" s="41">
        <v>14</v>
      </c>
      <c r="K26" s="42">
        <v>1</v>
      </c>
      <c r="L26" s="43">
        <v>50</v>
      </c>
      <c r="M26" s="43">
        <v>11</v>
      </c>
      <c r="N26" s="44">
        <v>19.964600000000001</v>
      </c>
      <c r="O26" s="48" t="s">
        <v>10</v>
      </c>
      <c r="P26" s="61">
        <f t="shared" si="1"/>
        <v>3.539999999999921E-2</v>
      </c>
    </row>
    <row r="27" spans="2:16" x14ac:dyDescent="0.35">
      <c r="B27" s="6">
        <v>15</v>
      </c>
      <c r="C27" s="31">
        <v>1</v>
      </c>
      <c r="D27" s="34">
        <v>50</v>
      </c>
      <c r="E27" s="34">
        <v>12</v>
      </c>
      <c r="F27" s="16">
        <v>21.503499999999999</v>
      </c>
      <c r="G27" s="46" t="s">
        <v>7</v>
      </c>
      <c r="H27" s="61">
        <f t="shared" si="0"/>
        <v>1.5034999999999989</v>
      </c>
      <c r="J27" s="6">
        <v>14</v>
      </c>
      <c r="K27" s="31">
        <v>1</v>
      </c>
      <c r="L27" s="34">
        <v>50</v>
      </c>
      <c r="M27" s="34">
        <v>12</v>
      </c>
      <c r="N27" s="16">
        <v>20.069900000000001</v>
      </c>
      <c r="O27" s="46" t="s">
        <v>7</v>
      </c>
      <c r="P27" s="61">
        <f t="shared" si="1"/>
        <v>-6.9900000000000517E-2</v>
      </c>
    </row>
    <row r="28" spans="2:16" x14ac:dyDescent="0.35">
      <c r="B28" s="6">
        <v>15</v>
      </c>
      <c r="C28" s="31">
        <v>1</v>
      </c>
      <c r="D28" s="34">
        <v>50</v>
      </c>
      <c r="E28" s="34">
        <v>13</v>
      </c>
      <c r="F28" s="16">
        <v>21.838799999999999</v>
      </c>
      <c r="G28" s="46" t="s">
        <v>7</v>
      </c>
      <c r="H28" s="61">
        <f t="shared" si="0"/>
        <v>1.8387999999999991</v>
      </c>
      <c r="J28" s="6">
        <v>14</v>
      </c>
      <c r="K28" s="31">
        <v>1</v>
      </c>
      <c r="L28" s="34">
        <v>50</v>
      </c>
      <c r="M28" s="34">
        <v>13</v>
      </c>
      <c r="N28" s="16">
        <v>20.382899999999999</v>
      </c>
      <c r="O28" s="46" t="s">
        <v>7</v>
      </c>
      <c r="P28" s="61">
        <f t="shared" si="1"/>
        <v>-0.38289999999999935</v>
      </c>
    </row>
    <row r="29" spans="2:16" x14ac:dyDescent="0.35">
      <c r="B29" s="6">
        <v>15</v>
      </c>
      <c r="C29" s="31">
        <v>1</v>
      </c>
      <c r="D29" s="34">
        <v>50</v>
      </c>
      <c r="E29" s="34">
        <v>14</v>
      </c>
      <c r="F29" s="16">
        <v>22.639800000000001</v>
      </c>
      <c r="G29" s="46" t="s">
        <v>7</v>
      </c>
      <c r="H29" s="61">
        <f t="shared" si="0"/>
        <v>2.639800000000001</v>
      </c>
      <c r="J29" s="6">
        <v>14</v>
      </c>
      <c r="K29" s="31">
        <v>1</v>
      </c>
      <c r="L29" s="34">
        <v>50</v>
      </c>
      <c r="M29" s="34">
        <v>14</v>
      </c>
      <c r="N29" s="16">
        <v>21.130500000000001</v>
      </c>
      <c r="O29" s="46" t="s">
        <v>7</v>
      </c>
      <c r="P29" s="61">
        <f t="shared" si="1"/>
        <v>-1.1305000000000014</v>
      </c>
    </row>
    <row r="30" spans="2:16" x14ac:dyDescent="0.35">
      <c r="B30" s="37">
        <v>15</v>
      </c>
      <c r="C30" s="38">
        <v>1</v>
      </c>
      <c r="D30" s="39">
        <v>50</v>
      </c>
      <c r="E30" s="39">
        <v>15</v>
      </c>
      <c r="F30" s="40">
        <v>23.418299999999999</v>
      </c>
      <c r="G30" s="47" t="s">
        <v>7</v>
      </c>
      <c r="H30" s="62">
        <f t="shared" si="0"/>
        <v>3.4182999999999986</v>
      </c>
      <c r="J30" s="37">
        <v>14</v>
      </c>
      <c r="K30" s="38">
        <v>1</v>
      </c>
      <c r="L30" s="39">
        <v>50</v>
      </c>
      <c r="M30" s="39">
        <v>15</v>
      </c>
      <c r="N30" s="40">
        <v>21.857099999999999</v>
      </c>
      <c r="O30" s="47" t="s">
        <v>7</v>
      </c>
      <c r="P30" s="62">
        <f t="shared" si="1"/>
        <v>-1.8570999999999991</v>
      </c>
    </row>
    <row r="31" spans="2:16" x14ac:dyDescent="0.35">
      <c r="B31" s="41">
        <v>15</v>
      </c>
      <c r="C31" s="42">
        <v>1</v>
      </c>
      <c r="D31" s="43">
        <v>60</v>
      </c>
      <c r="E31" s="43">
        <v>11</v>
      </c>
      <c r="F31" s="44">
        <v>21.6174</v>
      </c>
      <c r="G31" s="48" t="s">
        <v>7</v>
      </c>
      <c r="H31" s="61">
        <f t="shared" si="0"/>
        <v>1.6173999999999999</v>
      </c>
      <c r="J31" s="41">
        <v>14</v>
      </c>
      <c r="K31" s="42">
        <v>1</v>
      </c>
      <c r="L31" s="43">
        <v>60</v>
      </c>
      <c r="M31" s="43">
        <v>11</v>
      </c>
      <c r="N31" s="44">
        <v>20.176200000000001</v>
      </c>
      <c r="O31" s="48" t="s">
        <v>7</v>
      </c>
      <c r="P31" s="61">
        <f t="shared" si="1"/>
        <v>-0.17620000000000147</v>
      </c>
    </row>
    <row r="32" spans="2:16" x14ac:dyDescent="0.35">
      <c r="B32" s="6">
        <v>15</v>
      </c>
      <c r="C32" s="31">
        <v>1</v>
      </c>
      <c r="D32" s="34">
        <v>60</v>
      </c>
      <c r="E32" s="34">
        <v>12</v>
      </c>
      <c r="F32" s="16">
        <v>21.603999999999999</v>
      </c>
      <c r="G32" s="46" t="s">
        <v>7</v>
      </c>
      <c r="H32" s="61">
        <f t="shared" si="0"/>
        <v>1.6039999999999992</v>
      </c>
      <c r="J32" s="6">
        <v>14</v>
      </c>
      <c r="K32" s="31">
        <v>1</v>
      </c>
      <c r="L32" s="34">
        <v>60</v>
      </c>
      <c r="M32" s="34">
        <v>12</v>
      </c>
      <c r="N32" s="16">
        <v>20.163699999999999</v>
      </c>
      <c r="O32" s="46" t="s">
        <v>7</v>
      </c>
      <c r="P32" s="61">
        <f t="shared" si="1"/>
        <v>-0.16369999999999862</v>
      </c>
    </row>
    <row r="33" spans="2:16" x14ac:dyDescent="0.35">
      <c r="B33" s="6">
        <v>15</v>
      </c>
      <c r="C33" s="31">
        <v>1</v>
      </c>
      <c r="D33" s="34">
        <v>60</v>
      </c>
      <c r="E33" s="34">
        <v>13</v>
      </c>
      <c r="F33" s="16">
        <v>21.911200000000001</v>
      </c>
      <c r="G33" s="46" t="s">
        <v>7</v>
      </c>
      <c r="H33" s="61">
        <f t="shared" si="0"/>
        <v>1.9112000000000009</v>
      </c>
      <c r="J33" s="6">
        <v>14</v>
      </c>
      <c r="K33" s="31">
        <v>1</v>
      </c>
      <c r="L33" s="34">
        <v>60</v>
      </c>
      <c r="M33" s="34">
        <v>13</v>
      </c>
      <c r="N33" s="16">
        <v>20.450399999999998</v>
      </c>
      <c r="O33" s="46" t="s">
        <v>7</v>
      </c>
      <c r="P33" s="61">
        <f t="shared" si="1"/>
        <v>-0.45039999999999836</v>
      </c>
    </row>
    <row r="34" spans="2:16" x14ac:dyDescent="0.35">
      <c r="B34" s="6">
        <v>15</v>
      </c>
      <c r="C34" s="31">
        <v>1</v>
      </c>
      <c r="D34" s="34">
        <v>60</v>
      </c>
      <c r="E34" s="34">
        <v>14</v>
      </c>
      <c r="F34" s="16">
        <v>22.662299999999998</v>
      </c>
      <c r="G34" s="46" t="s">
        <v>7</v>
      </c>
      <c r="H34" s="61">
        <f t="shared" si="0"/>
        <v>2.6622999999999983</v>
      </c>
      <c r="J34" s="6">
        <v>14</v>
      </c>
      <c r="K34" s="31">
        <v>1</v>
      </c>
      <c r="L34" s="34">
        <v>60</v>
      </c>
      <c r="M34" s="34">
        <v>14</v>
      </c>
      <c r="N34" s="16">
        <v>21.151499999999999</v>
      </c>
      <c r="O34" s="46" t="s">
        <v>7</v>
      </c>
      <c r="P34" s="61">
        <f t="shared" si="1"/>
        <v>-1.1514999999999986</v>
      </c>
    </row>
    <row r="35" spans="2:16" x14ac:dyDescent="0.35">
      <c r="B35" s="37">
        <v>15</v>
      </c>
      <c r="C35" s="38">
        <v>1</v>
      </c>
      <c r="D35" s="39">
        <v>60</v>
      </c>
      <c r="E35" s="39">
        <v>15</v>
      </c>
      <c r="F35" s="40">
        <v>23.365100000000002</v>
      </c>
      <c r="G35" s="47" t="s">
        <v>7</v>
      </c>
      <c r="H35" s="62">
        <f t="shared" si="0"/>
        <v>3.3651000000000018</v>
      </c>
      <c r="J35" s="37">
        <v>14</v>
      </c>
      <c r="K35" s="38">
        <v>1</v>
      </c>
      <c r="L35" s="39">
        <v>60</v>
      </c>
      <c r="M35" s="39">
        <v>15</v>
      </c>
      <c r="N35" s="40">
        <v>21.807400000000001</v>
      </c>
      <c r="O35" s="47" t="s">
        <v>7</v>
      </c>
      <c r="P35" s="62">
        <f t="shared" si="1"/>
        <v>-1.8074000000000012</v>
      </c>
    </row>
    <row r="36" spans="2:16" x14ac:dyDescent="0.35">
      <c r="B36" s="41">
        <v>15</v>
      </c>
      <c r="C36" s="42">
        <v>0.5</v>
      </c>
      <c r="D36" s="43">
        <v>10</v>
      </c>
      <c r="E36" s="43">
        <v>11</v>
      </c>
      <c r="F36" s="44">
        <v>21.637</v>
      </c>
      <c r="G36" s="48" t="s">
        <v>7</v>
      </c>
      <c r="H36" s="61">
        <f t="shared" si="0"/>
        <v>1.6370000000000005</v>
      </c>
      <c r="J36" s="41">
        <v>14</v>
      </c>
      <c r="K36" s="42">
        <v>0.5</v>
      </c>
      <c r="L36" s="43">
        <v>10</v>
      </c>
      <c r="M36" s="43">
        <v>11</v>
      </c>
      <c r="N36" s="44">
        <v>20.194500000000001</v>
      </c>
      <c r="O36" s="48" t="s">
        <v>7</v>
      </c>
      <c r="P36" s="61">
        <f t="shared" si="1"/>
        <v>-0.19450000000000145</v>
      </c>
    </row>
    <row r="37" spans="2:16" x14ac:dyDescent="0.35">
      <c r="B37" s="6">
        <v>15</v>
      </c>
      <c r="C37" s="31">
        <v>0.5</v>
      </c>
      <c r="D37" s="34">
        <v>10</v>
      </c>
      <c r="E37" s="34">
        <v>12</v>
      </c>
      <c r="F37" s="16">
        <v>20.890599999999999</v>
      </c>
      <c r="G37" s="46" t="s">
        <v>7</v>
      </c>
      <c r="H37" s="61">
        <f t="shared" si="0"/>
        <v>0.89059999999999917</v>
      </c>
      <c r="J37" s="6">
        <v>14</v>
      </c>
      <c r="K37" s="31">
        <v>0.5</v>
      </c>
      <c r="L37" s="34">
        <v>10</v>
      </c>
      <c r="M37" s="34">
        <v>12</v>
      </c>
      <c r="N37" s="16">
        <v>19.497900000000001</v>
      </c>
      <c r="O37" s="46" t="s">
        <v>10</v>
      </c>
      <c r="P37" s="61">
        <f t="shared" si="1"/>
        <v>0.50209999999999866</v>
      </c>
    </row>
    <row r="38" spans="2:16" x14ac:dyDescent="0.35">
      <c r="B38" s="6">
        <v>15</v>
      </c>
      <c r="C38" s="31">
        <v>0.5</v>
      </c>
      <c r="D38" s="34">
        <v>10</v>
      </c>
      <c r="E38" s="34">
        <v>13</v>
      </c>
      <c r="F38" s="16">
        <v>20.712900000000001</v>
      </c>
      <c r="G38" s="46" t="s">
        <v>7</v>
      </c>
      <c r="H38" s="61">
        <f t="shared" si="0"/>
        <v>0.7129000000000012</v>
      </c>
      <c r="J38" s="6">
        <v>14</v>
      </c>
      <c r="K38" s="31">
        <v>0.5</v>
      </c>
      <c r="L38" s="34">
        <v>10</v>
      </c>
      <c r="M38" s="34">
        <v>13</v>
      </c>
      <c r="N38" s="16">
        <v>19.332100000000001</v>
      </c>
      <c r="O38" s="46" t="s">
        <v>10</v>
      </c>
      <c r="P38" s="61">
        <f t="shared" si="1"/>
        <v>0.66789999999999949</v>
      </c>
    </row>
    <row r="39" spans="2:16" x14ac:dyDescent="0.35">
      <c r="B39" s="6">
        <v>15</v>
      </c>
      <c r="C39" s="31">
        <v>0.5</v>
      </c>
      <c r="D39" s="34">
        <v>10</v>
      </c>
      <c r="E39" s="34">
        <v>14</v>
      </c>
      <c r="F39" s="16">
        <v>20.7454</v>
      </c>
      <c r="G39" s="46" t="s">
        <v>7</v>
      </c>
      <c r="H39" s="61">
        <f t="shared" si="0"/>
        <v>0.74540000000000006</v>
      </c>
      <c r="J39" s="6">
        <v>14</v>
      </c>
      <c r="K39" s="31">
        <v>0.5</v>
      </c>
      <c r="L39" s="34">
        <v>10</v>
      </c>
      <c r="M39" s="34">
        <v>14</v>
      </c>
      <c r="N39" s="16">
        <v>19.362300000000001</v>
      </c>
      <c r="O39" s="46" t="s">
        <v>10</v>
      </c>
      <c r="P39" s="61">
        <f t="shared" si="1"/>
        <v>0.63769999999999882</v>
      </c>
    </row>
    <row r="40" spans="2:16" x14ac:dyDescent="0.35">
      <c r="B40" s="37">
        <v>15</v>
      </c>
      <c r="C40" s="38">
        <v>0.5</v>
      </c>
      <c r="D40" s="39">
        <v>10</v>
      </c>
      <c r="E40" s="39">
        <v>15</v>
      </c>
      <c r="F40" s="40">
        <v>21.7013</v>
      </c>
      <c r="G40" s="47" t="s">
        <v>7</v>
      </c>
      <c r="H40" s="62">
        <f t="shared" si="0"/>
        <v>1.7012999999999998</v>
      </c>
      <c r="J40" s="37">
        <v>14</v>
      </c>
      <c r="K40" s="38">
        <v>0.5</v>
      </c>
      <c r="L40" s="39">
        <v>10</v>
      </c>
      <c r="M40" s="39">
        <v>15</v>
      </c>
      <c r="N40" s="40">
        <v>20.2545</v>
      </c>
      <c r="O40" s="47" t="s">
        <v>7</v>
      </c>
      <c r="P40" s="62">
        <f t="shared" si="1"/>
        <v>-0.25450000000000017</v>
      </c>
    </row>
    <row r="41" spans="2:16" x14ac:dyDescent="0.35">
      <c r="B41" s="41">
        <v>15</v>
      </c>
      <c r="C41" s="42">
        <v>0.5</v>
      </c>
      <c r="D41" s="43">
        <v>20</v>
      </c>
      <c r="E41" s="43">
        <v>11</v>
      </c>
      <c r="F41" s="44">
        <v>21.090499999999999</v>
      </c>
      <c r="G41" s="48" t="s">
        <v>7</v>
      </c>
      <c r="H41" s="61">
        <f t="shared" si="0"/>
        <v>1.0904999999999987</v>
      </c>
      <c r="J41" s="41">
        <v>14</v>
      </c>
      <c r="K41" s="42">
        <v>0.5</v>
      </c>
      <c r="L41" s="43">
        <v>20</v>
      </c>
      <c r="M41" s="43">
        <v>11</v>
      </c>
      <c r="N41" s="44">
        <v>19.6845</v>
      </c>
      <c r="O41" s="48" t="s">
        <v>10</v>
      </c>
      <c r="P41" s="61">
        <f t="shared" si="1"/>
        <v>0.31550000000000011</v>
      </c>
    </row>
    <row r="42" spans="2:16" x14ac:dyDescent="0.35">
      <c r="B42" s="6">
        <v>15</v>
      </c>
      <c r="C42" s="31">
        <v>0.5</v>
      </c>
      <c r="D42" s="34">
        <v>20</v>
      </c>
      <c r="E42" s="34">
        <v>12</v>
      </c>
      <c r="F42" s="16">
        <v>20.7821</v>
      </c>
      <c r="G42" s="46" t="s">
        <v>7</v>
      </c>
      <c r="H42" s="61">
        <f t="shared" si="0"/>
        <v>0.7820999999999998</v>
      </c>
      <c r="J42" s="6">
        <v>14</v>
      </c>
      <c r="K42" s="31">
        <v>0.5</v>
      </c>
      <c r="L42" s="34">
        <v>20</v>
      </c>
      <c r="M42" s="34">
        <v>12</v>
      </c>
      <c r="N42" s="16">
        <v>19.396699999999999</v>
      </c>
      <c r="O42" s="46" t="s">
        <v>10</v>
      </c>
      <c r="P42" s="61">
        <f t="shared" si="1"/>
        <v>0.60330000000000084</v>
      </c>
    </row>
    <row r="43" spans="2:16" x14ac:dyDescent="0.35">
      <c r="B43" s="6">
        <v>15</v>
      </c>
      <c r="C43" s="31">
        <v>0.5</v>
      </c>
      <c r="D43" s="34">
        <v>20</v>
      </c>
      <c r="E43" s="34">
        <v>13</v>
      </c>
      <c r="F43" s="16">
        <v>20.719200000000001</v>
      </c>
      <c r="G43" s="46" t="s">
        <v>7</v>
      </c>
      <c r="H43" s="61">
        <f t="shared" si="0"/>
        <v>0.71920000000000073</v>
      </c>
      <c r="J43" s="6">
        <v>14</v>
      </c>
      <c r="K43" s="31">
        <v>0.5</v>
      </c>
      <c r="L43" s="34">
        <v>20</v>
      </c>
      <c r="M43" s="34">
        <v>13</v>
      </c>
      <c r="N43" s="16">
        <v>19.337900000000001</v>
      </c>
      <c r="O43" s="46" t="s">
        <v>10</v>
      </c>
      <c r="P43" s="61">
        <f t="shared" si="1"/>
        <v>0.6620999999999988</v>
      </c>
    </row>
    <row r="44" spans="2:16" x14ac:dyDescent="0.35">
      <c r="B44" s="6">
        <v>15</v>
      </c>
      <c r="C44" s="31">
        <v>0.5</v>
      </c>
      <c r="D44" s="34">
        <v>20</v>
      </c>
      <c r="E44" s="34">
        <v>14</v>
      </c>
      <c r="F44" s="16">
        <v>21.0108</v>
      </c>
      <c r="G44" s="46" t="s">
        <v>7</v>
      </c>
      <c r="H44" s="61">
        <f t="shared" si="0"/>
        <v>1.0107999999999997</v>
      </c>
      <c r="J44" s="6">
        <v>14</v>
      </c>
      <c r="K44" s="31">
        <v>0.5</v>
      </c>
      <c r="L44" s="34">
        <v>20</v>
      </c>
      <c r="M44" s="34">
        <v>14</v>
      </c>
      <c r="N44" s="16">
        <v>19.610099999999999</v>
      </c>
      <c r="O44" s="46" t="s">
        <v>10</v>
      </c>
      <c r="P44" s="61">
        <f t="shared" si="1"/>
        <v>0.3899000000000008</v>
      </c>
    </row>
    <row r="45" spans="2:16" x14ac:dyDescent="0.35">
      <c r="B45" s="37">
        <v>15</v>
      </c>
      <c r="C45" s="38">
        <v>0.5</v>
      </c>
      <c r="D45" s="39">
        <v>20</v>
      </c>
      <c r="E45" s="39">
        <v>15</v>
      </c>
      <c r="F45" s="40">
        <v>21.744</v>
      </c>
      <c r="G45" s="47" t="s">
        <v>7</v>
      </c>
      <c r="H45" s="62">
        <f t="shared" si="0"/>
        <v>1.7439999999999998</v>
      </c>
      <c r="J45" s="37">
        <v>14</v>
      </c>
      <c r="K45" s="38">
        <v>0.5</v>
      </c>
      <c r="L45" s="39">
        <v>20</v>
      </c>
      <c r="M45" s="39">
        <v>15</v>
      </c>
      <c r="N45" s="40">
        <v>20.2944</v>
      </c>
      <c r="O45" s="47" t="s">
        <v>7</v>
      </c>
      <c r="P45" s="62">
        <f t="shared" si="1"/>
        <v>-0.29439999999999955</v>
      </c>
    </row>
    <row r="46" spans="2:16" x14ac:dyDescent="0.35">
      <c r="B46" s="41">
        <v>15</v>
      </c>
      <c r="C46" s="42">
        <v>0.5</v>
      </c>
      <c r="D46" s="43">
        <v>30</v>
      </c>
      <c r="E46" s="43">
        <v>11</v>
      </c>
      <c r="F46" s="44">
        <v>21.1995</v>
      </c>
      <c r="G46" s="48" t="s">
        <v>7</v>
      </c>
      <c r="H46" s="61">
        <f t="shared" si="0"/>
        <v>1.1995000000000005</v>
      </c>
      <c r="J46" s="41">
        <v>14</v>
      </c>
      <c r="K46" s="42">
        <v>0.5</v>
      </c>
      <c r="L46" s="43">
        <v>30</v>
      </c>
      <c r="M46" s="43">
        <v>11</v>
      </c>
      <c r="N46" s="44">
        <v>19.786200000000001</v>
      </c>
      <c r="O46" s="48" t="s">
        <v>10</v>
      </c>
      <c r="P46" s="61">
        <f t="shared" si="1"/>
        <v>0.2137999999999991</v>
      </c>
    </row>
    <row r="47" spans="2:16" x14ac:dyDescent="0.35">
      <c r="B47" s="6">
        <v>15</v>
      </c>
      <c r="C47" s="31">
        <v>0.5</v>
      </c>
      <c r="D47" s="34">
        <v>30</v>
      </c>
      <c r="E47" s="34">
        <v>12</v>
      </c>
      <c r="F47" s="16">
        <v>20.877500000000001</v>
      </c>
      <c r="G47" s="46" t="s">
        <v>7</v>
      </c>
      <c r="H47" s="61">
        <f t="shared" si="0"/>
        <v>0.87750000000000128</v>
      </c>
      <c r="J47" s="6">
        <v>14</v>
      </c>
      <c r="K47" s="31">
        <v>0.5</v>
      </c>
      <c r="L47" s="34">
        <v>30</v>
      </c>
      <c r="M47" s="34">
        <v>12</v>
      </c>
      <c r="N47" s="16">
        <v>19.485700000000001</v>
      </c>
      <c r="O47" s="46" t="s">
        <v>10</v>
      </c>
      <c r="P47" s="61">
        <f t="shared" si="1"/>
        <v>0.51429999999999865</v>
      </c>
    </row>
    <row r="48" spans="2:16" x14ac:dyDescent="0.35">
      <c r="B48" s="6">
        <v>15</v>
      </c>
      <c r="C48" s="31">
        <v>0.5</v>
      </c>
      <c r="D48" s="34">
        <v>30</v>
      </c>
      <c r="E48" s="34">
        <v>13</v>
      </c>
      <c r="F48" s="16">
        <v>20.750800000000002</v>
      </c>
      <c r="G48" s="46" t="s">
        <v>7</v>
      </c>
      <c r="H48" s="61">
        <f t="shared" si="0"/>
        <v>0.75080000000000169</v>
      </c>
      <c r="J48" s="6">
        <v>14</v>
      </c>
      <c r="K48" s="31">
        <v>0.5</v>
      </c>
      <c r="L48" s="34">
        <v>30</v>
      </c>
      <c r="M48" s="34">
        <v>13</v>
      </c>
      <c r="N48" s="16">
        <v>19.3674</v>
      </c>
      <c r="O48" s="46" t="s">
        <v>10</v>
      </c>
      <c r="P48" s="61">
        <f t="shared" si="1"/>
        <v>0.63260000000000005</v>
      </c>
    </row>
    <row r="49" spans="2:16" x14ac:dyDescent="0.35">
      <c r="B49" s="6">
        <v>15</v>
      </c>
      <c r="C49" s="31">
        <v>0.5</v>
      </c>
      <c r="D49" s="34">
        <v>30</v>
      </c>
      <c r="E49" s="34">
        <v>14</v>
      </c>
      <c r="F49" s="16">
        <v>20.9636</v>
      </c>
      <c r="G49" s="46" t="s">
        <v>7</v>
      </c>
      <c r="H49" s="61">
        <f t="shared" si="0"/>
        <v>0.96359999999999957</v>
      </c>
      <c r="J49" s="6">
        <v>14</v>
      </c>
      <c r="K49" s="31">
        <v>0.5</v>
      </c>
      <c r="L49" s="34">
        <v>30</v>
      </c>
      <c r="M49" s="34">
        <v>14</v>
      </c>
      <c r="N49" s="16">
        <v>19.565999999999999</v>
      </c>
      <c r="O49" s="46" t="s">
        <v>10</v>
      </c>
      <c r="P49" s="61">
        <f t="shared" si="1"/>
        <v>0.43400000000000105</v>
      </c>
    </row>
    <row r="50" spans="2:16" x14ac:dyDescent="0.35">
      <c r="B50" s="37">
        <v>15</v>
      </c>
      <c r="C50" s="38">
        <v>0.5</v>
      </c>
      <c r="D50" s="39">
        <v>30</v>
      </c>
      <c r="E50" s="39">
        <v>15</v>
      </c>
      <c r="F50" s="40">
        <v>21.581900000000001</v>
      </c>
      <c r="G50" s="47" t="s">
        <v>7</v>
      </c>
      <c r="H50" s="62">
        <f t="shared" si="0"/>
        <v>1.581900000000001</v>
      </c>
      <c r="J50" s="37">
        <v>14</v>
      </c>
      <c r="K50" s="38">
        <v>0.5</v>
      </c>
      <c r="L50" s="39">
        <v>30</v>
      </c>
      <c r="M50" s="39">
        <v>15</v>
      </c>
      <c r="N50" s="40">
        <v>20.1431</v>
      </c>
      <c r="O50" s="47" t="s">
        <v>7</v>
      </c>
      <c r="P50" s="62">
        <f t="shared" si="1"/>
        <v>-0.14310000000000045</v>
      </c>
    </row>
    <row r="51" spans="2:16" x14ac:dyDescent="0.35">
      <c r="B51" s="41">
        <v>15</v>
      </c>
      <c r="C51" s="42">
        <v>0.5</v>
      </c>
      <c r="D51" s="43">
        <v>40</v>
      </c>
      <c r="E51" s="43">
        <v>11</v>
      </c>
      <c r="F51" s="44">
        <v>21.299700000000001</v>
      </c>
      <c r="G51" s="48" t="s">
        <v>7</v>
      </c>
      <c r="H51" s="61">
        <f t="shared" si="0"/>
        <v>1.2997000000000014</v>
      </c>
      <c r="J51" s="41">
        <v>14</v>
      </c>
      <c r="K51" s="42">
        <v>0.5</v>
      </c>
      <c r="L51" s="43">
        <v>40</v>
      </c>
      <c r="M51" s="43">
        <v>11</v>
      </c>
      <c r="N51" s="44">
        <v>19.879799999999999</v>
      </c>
      <c r="O51" s="48" t="s">
        <v>10</v>
      </c>
      <c r="P51" s="61">
        <f t="shared" si="1"/>
        <v>0.12020000000000053</v>
      </c>
    </row>
    <row r="52" spans="2:16" x14ac:dyDescent="0.35">
      <c r="B52" s="6">
        <v>15</v>
      </c>
      <c r="C52" s="31">
        <v>0.5</v>
      </c>
      <c r="D52" s="34">
        <v>40</v>
      </c>
      <c r="E52" s="34">
        <v>12</v>
      </c>
      <c r="F52" s="16">
        <v>20.947099999999999</v>
      </c>
      <c r="G52" s="46" t="s">
        <v>7</v>
      </c>
      <c r="H52" s="61">
        <f t="shared" si="0"/>
        <v>0.94709999999999894</v>
      </c>
      <c r="J52" s="6">
        <v>14</v>
      </c>
      <c r="K52" s="31">
        <v>0.5</v>
      </c>
      <c r="L52" s="34">
        <v>40</v>
      </c>
      <c r="M52" s="34">
        <v>12</v>
      </c>
      <c r="N52" s="16">
        <v>19.550599999999999</v>
      </c>
      <c r="O52" s="46" t="s">
        <v>10</v>
      </c>
      <c r="P52" s="61">
        <f t="shared" si="1"/>
        <v>0.44940000000000069</v>
      </c>
    </row>
    <row r="53" spans="2:16" x14ac:dyDescent="0.35">
      <c r="B53" s="6">
        <v>15</v>
      </c>
      <c r="C53" s="31">
        <v>0.5</v>
      </c>
      <c r="D53" s="34">
        <v>40</v>
      </c>
      <c r="E53" s="34">
        <v>13</v>
      </c>
      <c r="F53" s="16">
        <v>20.946999999999999</v>
      </c>
      <c r="G53" s="46" t="s">
        <v>7</v>
      </c>
      <c r="H53" s="61">
        <f t="shared" si="0"/>
        <v>0.94699999999999918</v>
      </c>
      <c r="J53" s="6">
        <v>14</v>
      </c>
      <c r="K53" s="31">
        <v>0.5</v>
      </c>
      <c r="L53" s="34">
        <v>40</v>
      </c>
      <c r="M53" s="34">
        <v>13</v>
      </c>
      <c r="N53" s="16">
        <v>19.5505</v>
      </c>
      <c r="O53" s="46" t="s">
        <v>10</v>
      </c>
      <c r="P53" s="61">
        <f t="shared" si="1"/>
        <v>0.44950000000000045</v>
      </c>
    </row>
    <row r="54" spans="2:16" x14ac:dyDescent="0.35">
      <c r="B54" s="6">
        <v>15</v>
      </c>
      <c r="C54" s="31">
        <v>0.5</v>
      </c>
      <c r="D54" s="34">
        <v>40</v>
      </c>
      <c r="E54" s="34">
        <v>14</v>
      </c>
      <c r="F54" s="16">
        <v>21.182600000000001</v>
      </c>
      <c r="G54" s="46" t="s">
        <v>7</v>
      </c>
      <c r="H54" s="61">
        <f t="shared" si="0"/>
        <v>1.1826000000000008</v>
      </c>
      <c r="J54" s="6">
        <v>14</v>
      </c>
      <c r="K54" s="31">
        <v>0.5</v>
      </c>
      <c r="L54" s="34">
        <v>40</v>
      </c>
      <c r="M54" s="34">
        <v>14</v>
      </c>
      <c r="N54" s="16">
        <v>19.770399999999999</v>
      </c>
      <c r="O54" s="46" t="s">
        <v>10</v>
      </c>
      <c r="P54" s="61">
        <f t="shared" si="1"/>
        <v>0.22960000000000136</v>
      </c>
    </row>
    <row r="55" spans="2:16" x14ac:dyDescent="0.35">
      <c r="B55" s="37">
        <v>15</v>
      </c>
      <c r="C55" s="38">
        <v>0.5</v>
      </c>
      <c r="D55" s="39">
        <v>40</v>
      </c>
      <c r="E55" s="39">
        <v>15</v>
      </c>
      <c r="F55" s="40">
        <v>21.7196</v>
      </c>
      <c r="G55" s="47" t="s">
        <v>7</v>
      </c>
      <c r="H55" s="62">
        <f t="shared" si="0"/>
        <v>1.7195999999999998</v>
      </c>
      <c r="J55" s="37">
        <v>14</v>
      </c>
      <c r="K55" s="38">
        <v>0.5</v>
      </c>
      <c r="L55" s="39">
        <v>40</v>
      </c>
      <c r="M55" s="39">
        <v>15</v>
      </c>
      <c r="N55" s="40">
        <v>20.271599999999999</v>
      </c>
      <c r="O55" s="47" t="s">
        <v>7</v>
      </c>
      <c r="P55" s="62">
        <f t="shared" si="1"/>
        <v>-0.2715999999999994</v>
      </c>
    </row>
    <row r="56" spans="2:16" x14ac:dyDescent="0.35">
      <c r="B56" s="41">
        <v>15</v>
      </c>
      <c r="C56" s="42">
        <v>0.5</v>
      </c>
      <c r="D56" s="43">
        <v>50</v>
      </c>
      <c r="E56" s="43">
        <v>11</v>
      </c>
      <c r="F56" s="44">
        <v>21.343</v>
      </c>
      <c r="G56" s="48" t="s">
        <v>7</v>
      </c>
      <c r="H56" s="61">
        <f t="shared" si="0"/>
        <v>1.343</v>
      </c>
      <c r="J56" s="41">
        <v>14</v>
      </c>
      <c r="K56" s="42">
        <v>0.5</v>
      </c>
      <c r="L56" s="43">
        <v>50</v>
      </c>
      <c r="M56" s="43">
        <v>11</v>
      </c>
      <c r="N56" s="44">
        <v>19.920200000000001</v>
      </c>
      <c r="O56" s="48" t="s">
        <v>10</v>
      </c>
      <c r="P56" s="61">
        <f t="shared" si="1"/>
        <v>7.9799999999998761E-2</v>
      </c>
    </row>
    <row r="57" spans="2:16" x14ac:dyDescent="0.35">
      <c r="B57" s="6">
        <v>15</v>
      </c>
      <c r="C57" s="31">
        <v>0.5</v>
      </c>
      <c r="D57" s="34">
        <v>50</v>
      </c>
      <c r="E57" s="34">
        <v>12</v>
      </c>
      <c r="F57" s="16">
        <v>21.0716</v>
      </c>
      <c r="G57" s="46" t="s">
        <v>7</v>
      </c>
      <c r="H57" s="61">
        <f t="shared" si="0"/>
        <v>1.0716000000000001</v>
      </c>
      <c r="J57" s="6">
        <v>14</v>
      </c>
      <c r="K57" s="31">
        <v>0.5</v>
      </c>
      <c r="L57" s="34">
        <v>50</v>
      </c>
      <c r="M57" s="34">
        <v>12</v>
      </c>
      <c r="N57" s="16">
        <v>19.666799999999999</v>
      </c>
      <c r="O57" s="46" t="s">
        <v>10</v>
      </c>
      <c r="P57" s="61">
        <f t="shared" si="1"/>
        <v>0.33320000000000149</v>
      </c>
    </row>
    <row r="58" spans="2:16" x14ac:dyDescent="0.35">
      <c r="B58" s="6">
        <v>15</v>
      </c>
      <c r="C58" s="31">
        <v>0.5</v>
      </c>
      <c r="D58" s="34">
        <v>50</v>
      </c>
      <c r="E58" s="34">
        <v>13</v>
      </c>
      <c r="F58" s="16">
        <v>20.9863</v>
      </c>
      <c r="G58" s="46" t="s">
        <v>7</v>
      </c>
      <c r="H58" s="61">
        <f t="shared" si="0"/>
        <v>0.98629999999999995</v>
      </c>
      <c r="J58" s="6">
        <v>14</v>
      </c>
      <c r="K58" s="31">
        <v>0.5</v>
      </c>
      <c r="L58" s="34">
        <v>50</v>
      </c>
      <c r="M58" s="34">
        <v>13</v>
      </c>
      <c r="N58" s="16">
        <v>19.587199999999999</v>
      </c>
      <c r="O58" s="46" t="s">
        <v>10</v>
      </c>
      <c r="P58" s="61">
        <f t="shared" si="1"/>
        <v>0.41280000000000072</v>
      </c>
    </row>
    <row r="59" spans="2:16" x14ac:dyDescent="0.35">
      <c r="B59" s="6">
        <v>15</v>
      </c>
      <c r="C59" s="31">
        <v>0.5</v>
      </c>
      <c r="D59" s="34">
        <v>50</v>
      </c>
      <c r="E59" s="34">
        <v>14</v>
      </c>
      <c r="F59" s="16">
        <v>21.425699999999999</v>
      </c>
      <c r="G59" s="46" t="s">
        <v>7</v>
      </c>
      <c r="H59" s="61">
        <f t="shared" si="0"/>
        <v>1.4256999999999991</v>
      </c>
      <c r="J59" s="6">
        <v>14</v>
      </c>
      <c r="K59" s="31">
        <v>0.5</v>
      </c>
      <c r="L59" s="34">
        <v>50</v>
      </c>
      <c r="M59" s="34">
        <v>14</v>
      </c>
      <c r="N59" s="16">
        <v>19.997299999999999</v>
      </c>
      <c r="O59" s="46" t="s">
        <v>10</v>
      </c>
      <c r="P59" s="61">
        <f t="shared" si="1"/>
        <v>2.7000000000008129E-3</v>
      </c>
    </row>
    <row r="60" spans="2:16" x14ac:dyDescent="0.35">
      <c r="B60" s="37">
        <v>15</v>
      </c>
      <c r="C60" s="38">
        <v>0.5</v>
      </c>
      <c r="D60" s="39">
        <v>50</v>
      </c>
      <c r="E60" s="39">
        <v>15</v>
      </c>
      <c r="F60" s="40">
        <v>21.777999999999999</v>
      </c>
      <c r="G60" s="47" t="s">
        <v>7</v>
      </c>
      <c r="H60" s="62">
        <f t="shared" si="0"/>
        <v>1.7779999999999987</v>
      </c>
      <c r="J60" s="37">
        <v>14</v>
      </c>
      <c r="K60" s="38">
        <v>0.5</v>
      </c>
      <c r="L60" s="39">
        <v>50</v>
      </c>
      <c r="M60" s="39">
        <v>15</v>
      </c>
      <c r="N60" s="40">
        <v>20.3261</v>
      </c>
      <c r="O60" s="47" t="s">
        <v>7</v>
      </c>
      <c r="P60" s="62">
        <f t="shared" si="1"/>
        <v>-0.32610000000000028</v>
      </c>
    </row>
    <row r="61" spans="2:16" x14ac:dyDescent="0.35">
      <c r="B61" s="41">
        <v>15</v>
      </c>
      <c r="C61" s="42">
        <v>0.5</v>
      </c>
      <c r="D61" s="43">
        <v>60</v>
      </c>
      <c r="E61" s="43">
        <v>11</v>
      </c>
      <c r="F61" s="44">
        <v>21.622800000000002</v>
      </c>
      <c r="G61" s="48" t="s">
        <v>7</v>
      </c>
      <c r="H61" s="61">
        <f t="shared" si="0"/>
        <v>1.6228000000000016</v>
      </c>
      <c r="J61" s="41">
        <v>14</v>
      </c>
      <c r="K61" s="42">
        <v>0.5</v>
      </c>
      <c r="L61" s="43">
        <v>60</v>
      </c>
      <c r="M61" s="43">
        <v>11</v>
      </c>
      <c r="N61" s="44">
        <v>20.1813</v>
      </c>
      <c r="O61" s="48" t="s">
        <v>7</v>
      </c>
      <c r="P61" s="61">
        <f t="shared" si="1"/>
        <v>-0.18130000000000024</v>
      </c>
    </row>
    <row r="62" spans="2:16" x14ac:dyDescent="0.35">
      <c r="B62" s="6">
        <v>15</v>
      </c>
      <c r="C62" s="31">
        <v>0.5</v>
      </c>
      <c r="D62" s="34">
        <v>60</v>
      </c>
      <c r="E62" s="34">
        <v>12</v>
      </c>
      <c r="F62" s="16">
        <v>21.2651</v>
      </c>
      <c r="G62" s="46" t="s">
        <v>7</v>
      </c>
      <c r="H62" s="61">
        <f t="shared" si="0"/>
        <v>1.2651000000000003</v>
      </c>
      <c r="J62" s="6">
        <v>14</v>
      </c>
      <c r="K62" s="31">
        <v>0.5</v>
      </c>
      <c r="L62" s="34">
        <v>60</v>
      </c>
      <c r="M62" s="34">
        <v>12</v>
      </c>
      <c r="N62" s="16">
        <v>19.8474</v>
      </c>
      <c r="O62" s="46" t="s">
        <v>10</v>
      </c>
      <c r="P62" s="61">
        <f t="shared" si="1"/>
        <v>0.15259999999999962</v>
      </c>
    </row>
    <row r="63" spans="2:16" x14ac:dyDescent="0.35">
      <c r="B63" s="6">
        <v>15</v>
      </c>
      <c r="C63" s="31">
        <v>0.5</v>
      </c>
      <c r="D63" s="34">
        <v>60</v>
      </c>
      <c r="E63" s="34">
        <v>13</v>
      </c>
      <c r="F63" s="16">
        <v>21.348800000000001</v>
      </c>
      <c r="G63" s="46" t="s">
        <v>7</v>
      </c>
      <c r="H63" s="61">
        <f t="shared" si="0"/>
        <v>1.3488000000000007</v>
      </c>
      <c r="J63" s="6">
        <v>14</v>
      </c>
      <c r="K63" s="31">
        <v>0.5</v>
      </c>
      <c r="L63" s="34">
        <v>60</v>
      </c>
      <c r="M63" s="34">
        <v>13</v>
      </c>
      <c r="N63" s="16">
        <v>19.925599999999999</v>
      </c>
      <c r="O63" s="46" t="s">
        <v>10</v>
      </c>
      <c r="P63" s="61">
        <f t="shared" si="1"/>
        <v>7.4400000000000688E-2</v>
      </c>
    </row>
    <row r="64" spans="2:16" x14ac:dyDescent="0.35">
      <c r="B64" s="6">
        <v>15</v>
      </c>
      <c r="C64" s="31">
        <v>0.5</v>
      </c>
      <c r="D64" s="34">
        <v>60</v>
      </c>
      <c r="E64" s="34">
        <v>14</v>
      </c>
      <c r="F64" s="16">
        <v>21.5764</v>
      </c>
      <c r="G64" s="46" t="s">
        <v>7</v>
      </c>
      <c r="H64" s="61">
        <f t="shared" si="0"/>
        <v>1.5763999999999996</v>
      </c>
      <c r="J64" s="6">
        <v>14</v>
      </c>
      <c r="K64" s="31">
        <v>0.5</v>
      </c>
      <c r="L64" s="34">
        <v>60</v>
      </c>
      <c r="M64" s="34">
        <v>14</v>
      </c>
      <c r="N64" s="16">
        <v>20.138000000000002</v>
      </c>
      <c r="O64" s="46" t="s">
        <v>7</v>
      </c>
      <c r="P64" s="61">
        <f t="shared" si="1"/>
        <v>-0.13800000000000168</v>
      </c>
    </row>
    <row r="65" spans="2:16" x14ac:dyDescent="0.35">
      <c r="B65" s="37">
        <v>15</v>
      </c>
      <c r="C65" s="38">
        <v>0.5</v>
      </c>
      <c r="D65" s="39">
        <v>60</v>
      </c>
      <c r="E65" s="39">
        <v>15</v>
      </c>
      <c r="F65" s="40">
        <v>22.3979</v>
      </c>
      <c r="G65" s="47" t="s">
        <v>7</v>
      </c>
      <c r="H65" s="62">
        <f t="shared" si="0"/>
        <v>2.3978999999999999</v>
      </c>
      <c r="J65" s="37">
        <v>14</v>
      </c>
      <c r="K65" s="38">
        <v>0.5</v>
      </c>
      <c r="L65" s="39">
        <v>60</v>
      </c>
      <c r="M65" s="39">
        <v>15</v>
      </c>
      <c r="N65" s="40">
        <v>20.904699999999998</v>
      </c>
      <c r="O65" s="47" t="s">
        <v>7</v>
      </c>
      <c r="P65" s="62">
        <f t="shared" si="1"/>
        <v>-0.90469999999999828</v>
      </c>
    </row>
    <row r="66" spans="2:16" x14ac:dyDescent="0.35">
      <c r="B66" s="41">
        <v>15</v>
      </c>
      <c r="C66" s="42">
        <v>0.3</v>
      </c>
      <c r="D66" s="43">
        <v>10</v>
      </c>
      <c r="E66" s="43">
        <v>11</v>
      </c>
      <c r="F66" s="44">
        <v>22.253</v>
      </c>
      <c r="G66" s="48" t="s">
        <v>7</v>
      </c>
      <c r="H66" s="61">
        <f t="shared" si="0"/>
        <v>2.2530000000000001</v>
      </c>
      <c r="J66" s="41">
        <v>14</v>
      </c>
      <c r="K66" s="42">
        <v>0.3</v>
      </c>
      <c r="L66" s="43">
        <v>10</v>
      </c>
      <c r="M66" s="43">
        <v>11</v>
      </c>
      <c r="N66" s="44">
        <v>20.769500000000001</v>
      </c>
      <c r="O66" s="48" t="s">
        <v>7</v>
      </c>
      <c r="P66" s="61">
        <f t="shared" si="1"/>
        <v>-0.76950000000000074</v>
      </c>
    </row>
    <row r="67" spans="2:16" x14ac:dyDescent="0.35">
      <c r="B67" s="6">
        <v>15</v>
      </c>
      <c r="C67" s="31">
        <v>0.3</v>
      </c>
      <c r="D67" s="34">
        <v>10</v>
      </c>
      <c r="E67" s="34">
        <v>12</v>
      </c>
      <c r="F67" s="16">
        <v>21.240200000000002</v>
      </c>
      <c r="G67" s="46" t="s">
        <v>7</v>
      </c>
      <c r="H67" s="61">
        <f t="shared" si="0"/>
        <v>1.2402000000000015</v>
      </c>
      <c r="J67" s="6">
        <v>14</v>
      </c>
      <c r="K67" s="31">
        <v>0.3</v>
      </c>
      <c r="L67" s="34">
        <v>10</v>
      </c>
      <c r="M67" s="34">
        <v>12</v>
      </c>
      <c r="N67" s="16">
        <v>19.824100000000001</v>
      </c>
      <c r="O67" s="46" t="s">
        <v>10</v>
      </c>
      <c r="P67" s="61">
        <f t="shared" si="1"/>
        <v>0.17589999999999861</v>
      </c>
    </row>
    <row r="68" spans="2:16" x14ac:dyDescent="0.35">
      <c r="B68" s="6">
        <v>15</v>
      </c>
      <c r="C68" s="31">
        <v>0.3</v>
      </c>
      <c r="D68" s="34">
        <v>10</v>
      </c>
      <c r="E68" s="34">
        <v>13</v>
      </c>
      <c r="F68" s="16">
        <v>20.682500000000001</v>
      </c>
      <c r="G68" s="46" t="s">
        <v>7</v>
      </c>
      <c r="H68" s="61">
        <f t="shared" si="0"/>
        <v>0.68250000000000099</v>
      </c>
      <c r="J68" s="6">
        <v>14</v>
      </c>
      <c r="K68" s="31">
        <v>0.3</v>
      </c>
      <c r="L68" s="34">
        <v>10</v>
      </c>
      <c r="M68" s="34">
        <v>13</v>
      </c>
      <c r="N68" s="16">
        <v>19.303699999999999</v>
      </c>
      <c r="O68" s="46" t="s">
        <v>10</v>
      </c>
      <c r="P68" s="61">
        <f t="shared" si="1"/>
        <v>0.69630000000000081</v>
      </c>
    </row>
    <row r="69" spans="2:16" x14ac:dyDescent="0.35">
      <c r="B69" s="6">
        <v>15</v>
      </c>
      <c r="C69" s="31">
        <v>0.3</v>
      </c>
      <c r="D69" s="34">
        <v>10</v>
      </c>
      <c r="E69" s="34">
        <v>14</v>
      </c>
      <c r="F69" s="16">
        <v>20.519400000000001</v>
      </c>
      <c r="G69" s="46" t="s">
        <v>7</v>
      </c>
      <c r="H69" s="61">
        <f t="shared" si="0"/>
        <v>0.51940000000000097</v>
      </c>
      <c r="J69" s="6">
        <v>14</v>
      </c>
      <c r="K69" s="31">
        <v>0.3</v>
      </c>
      <c r="L69" s="34">
        <v>10</v>
      </c>
      <c r="M69" s="34">
        <v>14</v>
      </c>
      <c r="N69" s="16">
        <v>19.151399999999999</v>
      </c>
      <c r="O69" s="46" t="s">
        <v>10</v>
      </c>
      <c r="P69" s="61">
        <f t="shared" si="1"/>
        <v>0.84860000000000113</v>
      </c>
    </row>
    <row r="70" spans="2:16" x14ac:dyDescent="0.35">
      <c r="B70" s="37">
        <v>15</v>
      </c>
      <c r="C70" s="38">
        <v>0.3</v>
      </c>
      <c r="D70" s="39">
        <v>10</v>
      </c>
      <c r="E70" s="39">
        <v>15</v>
      </c>
      <c r="F70" s="40">
        <v>20.692499999999999</v>
      </c>
      <c r="G70" s="47" t="s">
        <v>7</v>
      </c>
      <c r="H70" s="62">
        <f t="shared" si="0"/>
        <v>0.69249999999999901</v>
      </c>
      <c r="J70" s="37">
        <v>14</v>
      </c>
      <c r="K70" s="38">
        <v>0.3</v>
      </c>
      <c r="L70" s="39">
        <v>10</v>
      </c>
      <c r="M70" s="39">
        <v>15</v>
      </c>
      <c r="N70" s="40">
        <v>19.312999999999999</v>
      </c>
      <c r="O70" s="47" t="s">
        <v>10</v>
      </c>
      <c r="P70" s="62">
        <f t="shared" si="1"/>
        <v>0.68700000000000117</v>
      </c>
    </row>
    <row r="71" spans="2:16" x14ac:dyDescent="0.35">
      <c r="B71" s="41">
        <v>15</v>
      </c>
      <c r="C71" s="42">
        <v>0.3</v>
      </c>
      <c r="D71" s="43">
        <v>20</v>
      </c>
      <c r="E71" s="43">
        <v>11</v>
      </c>
      <c r="F71" s="44">
        <v>21.378299999999999</v>
      </c>
      <c r="G71" s="48" t="s">
        <v>7</v>
      </c>
      <c r="H71" s="61">
        <f t="shared" ref="H71:H134" si="2">ABS(20-F71)</f>
        <v>1.3782999999999994</v>
      </c>
      <c r="J71" s="41">
        <v>14</v>
      </c>
      <c r="K71" s="42">
        <v>0.3</v>
      </c>
      <c r="L71" s="43">
        <v>20</v>
      </c>
      <c r="M71" s="43">
        <v>11</v>
      </c>
      <c r="N71" s="44">
        <v>19.952999999999999</v>
      </c>
      <c r="O71" s="48" t="s">
        <v>10</v>
      </c>
      <c r="P71" s="61">
        <f t="shared" ref="P71:P134" si="3">20-N71</f>
        <v>4.7000000000000597E-2</v>
      </c>
    </row>
    <row r="72" spans="2:16" x14ac:dyDescent="0.35">
      <c r="B72" s="6">
        <v>15</v>
      </c>
      <c r="C72" s="31">
        <v>0.3</v>
      </c>
      <c r="D72" s="34">
        <v>20</v>
      </c>
      <c r="E72" s="34">
        <v>12</v>
      </c>
      <c r="F72" s="16">
        <v>20.8551</v>
      </c>
      <c r="G72" s="46" t="s">
        <v>7</v>
      </c>
      <c r="H72" s="61">
        <f t="shared" si="2"/>
        <v>0.85510000000000019</v>
      </c>
      <c r="J72" s="6">
        <v>14</v>
      </c>
      <c r="K72" s="31">
        <v>0.3</v>
      </c>
      <c r="L72" s="34">
        <v>20</v>
      </c>
      <c r="M72" s="34">
        <v>12</v>
      </c>
      <c r="N72" s="16">
        <v>19.464700000000001</v>
      </c>
      <c r="O72" s="46" t="s">
        <v>10</v>
      </c>
      <c r="P72" s="61">
        <f t="shared" si="3"/>
        <v>0.53529999999999944</v>
      </c>
    </row>
    <row r="73" spans="2:16" x14ac:dyDescent="0.35">
      <c r="B73" s="6">
        <v>15</v>
      </c>
      <c r="C73" s="31">
        <v>0.3</v>
      </c>
      <c r="D73" s="34">
        <v>20</v>
      </c>
      <c r="E73" s="34">
        <v>13</v>
      </c>
      <c r="F73" s="16">
        <v>20.5898</v>
      </c>
      <c r="G73" s="46" t="s">
        <v>7</v>
      </c>
      <c r="H73" s="61">
        <f t="shared" si="2"/>
        <v>0.58980000000000032</v>
      </c>
      <c r="J73" s="6">
        <v>14</v>
      </c>
      <c r="K73" s="31">
        <v>0.3</v>
      </c>
      <c r="L73" s="34">
        <v>20</v>
      </c>
      <c r="M73" s="34">
        <v>13</v>
      </c>
      <c r="N73" s="16">
        <v>19.217099999999999</v>
      </c>
      <c r="O73" s="46" t="s">
        <v>10</v>
      </c>
      <c r="P73" s="61">
        <f t="shared" si="3"/>
        <v>0.78290000000000148</v>
      </c>
    </row>
    <row r="74" spans="2:16" x14ac:dyDescent="0.35">
      <c r="B74" s="6">
        <v>15</v>
      </c>
      <c r="C74" s="31">
        <v>0.3</v>
      </c>
      <c r="D74" s="34">
        <v>20</v>
      </c>
      <c r="E74" s="34">
        <v>14</v>
      </c>
      <c r="F74" s="16">
        <v>20.593599999999999</v>
      </c>
      <c r="G74" s="46" t="s">
        <v>7</v>
      </c>
      <c r="H74" s="61">
        <f t="shared" si="2"/>
        <v>0.59359999999999857</v>
      </c>
      <c r="J74" s="6">
        <v>14</v>
      </c>
      <c r="K74" s="31">
        <v>0.3</v>
      </c>
      <c r="L74" s="34">
        <v>20</v>
      </c>
      <c r="M74" s="34">
        <v>14</v>
      </c>
      <c r="N74" s="16">
        <v>19.220700000000001</v>
      </c>
      <c r="O74" s="46" t="s">
        <v>10</v>
      </c>
      <c r="P74" s="61">
        <f t="shared" si="3"/>
        <v>0.77929999999999922</v>
      </c>
    </row>
    <row r="75" spans="2:16" x14ac:dyDescent="0.35">
      <c r="B75" s="37">
        <v>15</v>
      </c>
      <c r="C75" s="38">
        <v>0.3</v>
      </c>
      <c r="D75" s="39">
        <v>20</v>
      </c>
      <c r="E75" s="39">
        <v>15</v>
      </c>
      <c r="F75" s="40">
        <v>20.925799999999999</v>
      </c>
      <c r="G75" s="47" t="s">
        <v>7</v>
      </c>
      <c r="H75" s="62">
        <f t="shared" si="2"/>
        <v>0.92579999999999885</v>
      </c>
      <c r="J75" s="37">
        <v>14</v>
      </c>
      <c r="K75" s="38">
        <v>0.3</v>
      </c>
      <c r="L75" s="39">
        <v>20</v>
      </c>
      <c r="M75" s="39">
        <v>15</v>
      </c>
      <c r="N75" s="40">
        <v>19.5307</v>
      </c>
      <c r="O75" s="47" t="s">
        <v>10</v>
      </c>
      <c r="P75" s="62">
        <f t="shared" si="3"/>
        <v>0.46930000000000049</v>
      </c>
    </row>
    <row r="76" spans="2:16" x14ac:dyDescent="0.35">
      <c r="B76" s="41">
        <v>15</v>
      </c>
      <c r="C76" s="42">
        <v>0.3</v>
      </c>
      <c r="D76" s="43">
        <v>30</v>
      </c>
      <c r="E76" s="43">
        <v>11</v>
      </c>
      <c r="F76" s="44">
        <v>21.340299999999999</v>
      </c>
      <c r="G76" s="48" t="s">
        <v>7</v>
      </c>
      <c r="H76" s="61">
        <f t="shared" si="2"/>
        <v>1.3402999999999992</v>
      </c>
      <c r="J76" s="41">
        <v>14</v>
      </c>
      <c r="K76" s="42">
        <v>0.3</v>
      </c>
      <c r="L76" s="43">
        <v>30</v>
      </c>
      <c r="M76" s="43">
        <v>11</v>
      </c>
      <c r="N76" s="44">
        <v>19.9177</v>
      </c>
      <c r="O76" s="48" t="s">
        <v>10</v>
      </c>
      <c r="P76" s="61">
        <f t="shared" si="3"/>
        <v>8.230000000000004E-2</v>
      </c>
    </row>
    <row r="77" spans="2:16" x14ac:dyDescent="0.35">
      <c r="B77" s="6">
        <v>15</v>
      </c>
      <c r="C77" s="31">
        <v>0.3</v>
      </c>
      <c r="D77" s="34">
        <v>30</v>
      </c>
      <c r="E77" s="34">
        <v>12</v>
      </c>
      <c r="F77" s="16">
        <v>20.975999999999999</v>
      </c>
      <c r="G77" s="46" t="s">
        <v>7</v>
      </c>
      <c r="H77" s="61">
        <f t="shared" si="2"/>
        <v>0.97599999999999909</v>
      </c>
      <c r="J77" s="6">
        <v>14</v>
      </c>
      <c r="K77" s="31">
        <v>0.3</v>
      </c>
      <c r="L77" s="34">
        <v>30</v>
      </c>
      <c r="M77" s="34">
        <v>12</v>
      </c>
      <c r="N77" s="16">
        <v>19.5776</v>
      </c>
      <c r="O77" s="46" t="s">
        <v>10</v>
      </c>
      <c r="P77" s="61">
        <f t="shared" si="3"/>
        <v>0.42239999999999966</v>
      </c>
    </row>
    <row r="78" spans="2:16" x14ac:dyDescent="0.35">
      <c r="B78" s="6">
        <v>15</v>
      </c>
      <c r="C78" s="31">
        <v>0.3</v>
      </c>
      <c r="D78" s="34">
        <v>30</v>
      </c>
      <c r="E78" s="34">
        <v>13</v>
      </c>
      <c r="F78" s="16">
        <v>20.619700000000002</v>
      </c>
      <c r="G78" s="46" t="s">
        <v>7</v>
      </c>
      <c r="H78" s="61">
        <f t="shared" si="2"/>
        <v>0.61970000000000169</v>
      </c>
      <c r="J78" s="6">
        <v>14</v>
      </c>
      <c r="K78" s="31">
        <v>0.3</v>
      </c>
      <c r="L78" s="34">
        <v>30</v>
      </c>
      <c r="M78" s="34">
        <v>13</v>
      </c>
      <c r="N78" s="16">
        <v>19.245100000000001</v>
      </c>
      <c r="O78" s="46" t="s">
        <v>10</v>
      </c>
      <c r="P78" s="61">
        <f t="shared" si="3"/>
        <v>0.75489999999999924</v>
      </c>
    </row>
    <row r="79" spans="2:16" x14ac:dyDescent="0.35">
      <c r="B79" s="6">
        <v>15</v>
      </c>
      <c r="C79" s="31">
        <v>0.3</v>
      </c>
      <c r="D79" s="34">
        <v>30</v>
      </c>
      <c r="E79" s="34">
        <v>14</v>
      </c>
      <c r="F79" s="16">
        <v>20.671399999999998</v>
      </c>
      <c r="G79" s="46" t="s">
        <v>7</v>
      </c>
      <c r="H79" s="61">
        <f t="shared" si="2"/>
        <v>0.67139999999999844</v>
      </c>
      <c r="J79" s="6">
        <v>14</v>
      </c>
      <c r="K79" s="31">
        <v>0.3</v>
      </c>
      <c r="L79" s="34">
        <v>30</v>
      </c>
      <c r="M79" s="34">
        <v>14</v>
      </c>
      <c r="N79" s="16">
        <v>19.293299999999999</v>
      </c>
      <c r="O79" s="46" t="s">
        <v>10</v>
      </c>
      <c r="P79" s="61">
        <f t="shared" si="3"/>
        <v>0.70670000000000144</v>
      </c>
    </row>
    <row r="80" spans="2:16" x14ac:dyDescent="0.35">
      <c r="B80" s="37">
        <v>15</v>
      </c>
      <c r="C80" s="38">
        <v>0.3</v>
      </c>
      <c r="D80" s="39">
        <v>30</v>
      </c>
      <c r="E80" s="39">
        <v>15</v>
      </c>
      <c r="F80" s="40">
        <v>21.378699999999998</v>
      </c>
      <c r="G80" s="47" t="s">
        <v>7</v>
      </c>
      <c r="H80" s="62">
        <f t="shared" si="2"/>
        <v>1.3786999999999985</v>
      </c>
      <c r="J80" s="37">
        <v>14</v>
      </c>
      <c r="K80" s="38">
        <v>0.3</v>
      </c>
      <c r="L80" s="39">
        <v>30</v>
      </c>
      <c r="M80" s="39">
        <v>15</v>
      </c>
      <c r="N80" s="40">
        <v>19.953499999999998</v>
      </c>
      <c r="O80" s="47" t="s">
        <v>10</v>
      </c>
      <c r="P80" s="62">
        <f t="shared" si="3"/>
        <v>4.6500000000001762E-2</v>
      </c>
    </row>
    <row r="81" spans="2:16" x14ac:dyDescent="0.35">
      <c r="B81" s="41">
        <v>15</v>
      </c>
      <c r="C81" s="42">
        <v>0.3</v>
      </c>
      <c r="D81" s="43">
        <v>40</v>
      </c>
      <c r="E81" s="43">
        <v>11</v>
      </c>
      <c r="F81" s="44">
        <v>21.477900000000002</v>
      </c>
      <c r="G81" s="48" t="s">
        <v>7</v>
      </c>
      <c r="H81" s="61">
        <f t="shared" si="2"/>
        <v>1.4779000000000018</v>
      </c>
      <c r="J81" s="41">
        <v>14</v>
      </c>
      <c r="K81" s="42">
        <v>0.3</v>
      </c>
      <c r="L81" s="43">
        <v>40</v>
      </c>
      <c r="M81" s="43">
        <v>11</v>
      </c>
      <c r="N81" s="44">
        <v>20.045999999999999</v>
      </c>
      <c r="O81" s="48" t="s">
        <v>7</v>
      </c>
      <c r="P81" s="61">
        <f t="shared" si="3"/>
        <v>-4.5999999999999375E-2</v>
      </c>
    </row>
    <row r="82" spans="2:16" x14ac:dyDescent="0.35">
      <c r="B82" s="6">
        <v>15</v>
      </c>
      <c r="C82" s="31">
        <v>0.3</v>
      </c>
      <c r="D82" s="34">
        <v>40</v>
      </c>
      <c r="E82" s="34">
        <v>12</v>
      </c>
      <c r="F82" s="16">
        <v>20.938300000000002</v>
      </c>
      <c r="G82" s="46" t="s">
        <v>7</v>
      </c>
      <c r="H82" s="61">
        <f t="shared" si="2"/>
        <v>0.93830000000000169</v>
      </c>
      <c r="J82" s="6">
        <v>14</v>
      </c>
      <c r="K82" s="31">
        <v>0.3</v>
      </c>
      <c r="L82" s="34">
        <v>40</v>
      </c>
      <c r="M82" s="34">
        <v>12</v>
      </c>
      <c r="N82" s="16">
        <v>19.542400000000001</v>
      </c>
      <c r="O82" s="46" t="s">
        <v>10</v>
      </c>
      <c r="P82" s="61">
        <f t="shared" si="3"/>
        <v>0.45759999999999934</v>
      </c>
    </row>
    <row r="83" spans="2:16" x14ac:dyDescent="0.35">
      <c r="B83" s="6">
        <v>15</v>
      </c>
      <c r="C83" s="31">
        <v>0.3</v>
      </c>
      <c r="D83" s="34">
        <v>40</v>
      </c>
      <c r="E83" s="34">
        <v>13</v>
      </c>
      <c r="F83" s="16">
        <v>20.722000000000001</v>
      </c>
      <c r="G83" s="46" t="s">
        <v>7</v>
      </c>
      <c r="H83" s="61">
        <f t="shared" si="2"/>
        <v>0.72200000000000131</v>
      </c>
      <c r="J83" s="6">
        <v>14</v>
      </c>
      <c r="K83" s="31">
        <v>0.3</v>
      </c>
      <c r="L83" s="34">
        <v>40</v>
      </c>
      <c r="M83" s="34">
        <v>13</v>
      </c>
      <c r="N83" s="16">
        <v>19.340499999999999</v>
      </c>
      <c r="O83" s="46" t="s">
        <v>10</v>
      </c>
      <c r="P83" s="61">
        <f t="shared" si="3"/>
        <v>0.65950000000000131</v>
      </c>
    </row>
    <row r="84" spans="2:16" x14ac:dyDescent="0.35">
      <c r="B84" s="6">
        <v>15</v>
      </c>
      <c r="C84" s="31">
        <v>0.3</v>
      </c>
      <c r="D84" s="34">
        <v>40</v>
      </c>
      <c r="E84" s="34">
        <v>14</v>
      </c>
      <c r="F84" s="16">
        <v>20.918500000000002</v>
      </c>
      <c r="G84" s="46" t="s">
        <v>7</v>
      </c>
      <c r="H84" s="61">
        <f t="shared" si="2"/>
        <v>0.91850000000000165</v>
      </c>
      <c r="J84" s="6">
        <v>14</v>
      </c>
      <c r="K84" s="31">
        <v>0.3</v>
      </c>
      <c r="L84" s="34">
        <v>40</v>
      </c>
      <c r="M84" s="34">
        <v>14</v>
      </c>
      <c r="N84" s="16">
        <v>19.523900000000001</v>
      </c>
      <c r="O84" s="46" t="s">
        <v>10</v>
      </c>
      <c r="P84" s="61">
        <f t="shared" si="3"/>
        <v>0.47609999999999886</v>
      </c>
    </row>
    <row r="85" spans="2:16" x14ac:dyDescent="0.35">
      <c r="B85" s="37">
        <v>15</v>
      </c>
      <c r="C85" s="38">
        <v>0.3</v>
      </c>
      <c r="D85" s="39">
        <v>40</v>
      </c>
      <c r="E85" s="39">
        <v>15</v>
      </c>
      <c r="F85" s="40">
        <v>21.077200000000001</v>
      </c>
      <c r="G85" s="47" t="s">
        <v>7</v>
      </c>
      <c r="H85" s="62">
        <f t="shared" si="2"/>
        <v>1.0772000000000013</v>
      </c>
      <c r="J85" s="37">
        <v>14</v>
      </c>
      <c r="K85" s="38">
        <v>0.3</v>
      </c>
      <c r="L85" s="39">
        <v>40</v>
      </c>
      <c r="M85" s="39">
        <v>15</v>
      </c>
      <c r="N85" s="40">
        <v>19.672000000000001</v>
      </c>
      <c r="O85" s="47" t="s">
        <v>10</v>
      </c>
      <c r="P85" s="62">
        <f t="shared" si="3"/>
        <v>0.3279999999999994</v>
      </c>
    </row>
    <row r="86" spans="2:16" x14ac:dyDescent="0.35">
      <c r="B86" s="41">
        <v>15</v>
      </c>
      <c r="C86" s="42">
        <v>0.3</v>
      </c>
      <c r="D86" s="43">
        <v>50</v>
      </c>
      <c r="E86" s="43">
        <v>11</v>
      </c>
      <c r="F86" s="44">
        <v>21.4176</v>
      </c>
      <c r="G86" s="48" t="s">
        <v>7</v>
      </c>
      <c r="H86" s="61">
        <f t="shared" si="2"/>
        <v>1.4176000000000002</v>
      </c>
      <c r="J86" s="41">
        <v>14</v>
      </c>
      <c r="K86" s="42">
        <v>0.3</v>
      </c>
      <c r="L86" s="43">
        <v>50</v>
      </c>
      <c r="M86" s="43">
        <v>11</v>
      </c>
      <c r="N86" s="44">
        <v>19.989799999999999</v>
      </c>
      <c r="O86" s="48" t="s">
        <v>10</v>
      </c>
      <c r="P86" s="61">
        <f t="shared" si="3"/>
        <v>1.0200000000001097E-2</v>
      </c>
    </row>
    <row r="87" spans="2:16" x14ac:dyDescent="0.35">
      <c r="B87" s="6">
        <v>15</v>
      </c>
      <c r="C87" s="31">
        <v>0.3</v>
      </c>
      <c r="D87" s="34">
        <v>50</v>
      </c>
      <c r="E87" s="34">
        <v>12</v>
      </c>
      <c r="F87" s="16">
        <v>21.055299999999999</v>
      </c>
      <c r="G87" s="46" t="s">
        <v>7</v>
      </c>
      <c r="H87" s="61">
        <f t="shared" si="2"/>
        <v>1.055299999999999</v>
      </c>
      <c r="J87" s="6">
        <v>14</v>
      </c>
      <c r="K87" s="31">
        <v>0.3</v>
      </c>
      <c r="L87" s="34">
        <v>50</v>
      </c>
      <c r="M87" s="34">
        <v>12</v>
      </c>
      <c r="N87" s="16">
        <v>19.651599999999998</v>
      </c>
      <c r="O87" s="46" t="s">
        <v>10</v>
      </c>
      <c r="P87" s="61">
        <f t="shared" si="3"/>
        <v>0.3484000000000016</v>
      </c>
    </row>
    <row r="88" spans="2:16" x14ac:dyDescent="0.35">
      <c r="B88" s="6">
        <v>15</v>
      </c>
      <c r="C88" s="31">
        <v>0.3</v>
      </c>
      <c r="D88" s="34">
        <v>50</v>
      </c>
      <c r="E88" s="34">
        <v>13</v>
      </c>
      <c r="F88" s="16">
        <v>20.926200000000001</v>
      </c>
      <c r="G88" s="46" t="s">
        <v>7</v>
      </c>
      <c r="H88" s="61">
        <f t="shared" si="2"/>
        <v>0.92620000000000147</v>
      </c>
      <c r="J88" s="6">
        <v>14</v>
      </c>
      <c r="K88" s="31">
        <v>0.3</v>
      </c>
      <c r="L88" s="34">
        <v>50</v>
      </c>
      <c r="M88" s="34">
        <v>13</v>
      </c>
      <c r="N88" s="16">
        <v>19.531199999999998</v>
      </c>
      <c r="O88" s="46" t="s">
        <v>10</v>
      </c>
      <c r="P88" s="61">
        <f t="shared" si="3"/>
        <v>0.46880000000000166</v>
      </c>
    </row>
    <row r="89" spans="2:16" x14ac:dyDescent="0.35">
      <c r="B89" s="6">
        <v>15</v>
      </c>
      <c r="C89" s="31">
        <v>0.3</v>
      </c>
      <c r="D89" s="34">
        <v>50</v>
      </c>
      <c r="E89" s="34">
        <v>14</v>
      </c>
      <c r="F89" s="16">
        <v>21.044</v>
      </c>
      <c r="G89" s="46" t="s">
        <v>7</v>
      </c>
      <c r="H89" s="61">
        <f t="shared" si="2"/>
        <v>1.0440000000000005</v>
      </c>
      <c r="J89" s="6">
        <v>14</v>
      </c>
      <c r="K89" s="31">
        <v>0.3</v>
      </c>
      <c r="L89" s="34">
        <v>50</v>
      </c>
      <c r="M89" s="34">
        <v>14</v>
      </c>
      <c r="N89" s="16">
        <v>19.641100000000002</v>
      </c>
      <c r="O89" s="46" t="s">
        <v>10</v>
      </c>
      <c r="P89" s="61">
        <f t="shared" si="3"/>
        <v>0.35889999999999844</v>
      </c>
    </row>
    <row r="90" spans="2:16" x14ac:dyDescent="0.35">
      <c r="B90" s="37">
        <v>15</v>
      </c>
      <c r="C90" s="38">
        <v>0.3</v>
      </c>
      <c r="D90" s="39">
        <v>50</v>
      </c>
      <c r="E90" s="39">
        <v>15</v>
      </c>
      <c r="F90" s="40">
        <v>21.435500000000001</v>
      </c>
      <c r="G90" s="47" t="s">
        <v>7</v>
      </c>
      <c r="H90" s="62">
        <f t="shared" si="2"/>
        <v>1.4355000000000011</v>
      </c>
      <c r="J90" s="37">
        <v>14</v>
      </c>
      <c r="K90" s="38">
        <v>0.3</v>
      </c>
      <c r="L90" s="39">
        <v>50</v>
      </c>
      <c r="M90" s="39">
        <v>15</v>
      </c>
      <c r="N90" s="40">
        <v>20.006499999999999</v>
      </c>
      <c r="O90" s="47" t="s">
        <v>7</v>
      </c>
      <c r="P90" s="62">
        <f t="shared" si="3"/>
        <v>-6.4999999999990621E-3</v>
      </c>
    </row>
    <row r="91" spans="2:16" x14ac:dyDescent="0.35">
      <c r="B91" s="41">
        <v>15</v>
      </c>
      <c r="C91" s="42">
        <v>0.3</v>
      </c>
      <c r="D91" s="43">
        <v>60</v>
      </c>
      <c r="E91" s="43">
        <v>11</v>
      </c>
      <c r="F91" s="44">
        <v>21.524000000000001</v>
      </c>
      <c r="G91" s="48" t="s">
        <v>7</v>
      </c>
      <c r="H91" s="61">
        <f t="shared" si="2"/>
        <v>1.5240000000000009</v>
      </c>
      <c r="J91" s="41">
        <v>14</v>
      </c>
      <c r="K91" s="42">
        <v>0.3</v>
      </c>
      <c r="L91" s="43">
        <v>60</v>
      </c>
      <c r="M91" s="43">
        <v>11</v>
      </c>
      <c r="N91" s="44">
        <v>20.088999999999999</v>
      </c>
      <c r="O91" s="48" t="s">
        <v>7</v>
      </c>
      <c r="P91" s="61">
        <f t="shared" si="3"/>
        <v>-8.8999999999998636E-2</v>
      </c>
    </row>
    <row r="92" spans="2:16" x14ac:dyDescent="0.35">
      <c r="B92" s="6">
        <v>15</v>
      </c>
      <c r="C92" s="31">
        <v>0.3</v>
      </c>
      <c r="D92" s="34">
        <v>60</v>
      </c>
      <c r="E92" s="34">
        <v>12</v>
      </c>
      <c r="F92" s="16">
        <v>21.2272</v>
      </c>
      <c r="G92" s="46" t="s">
        <v>7</v>
      </c>
      <c r="H92" s="61">
        <f t="shared" si="2"/>
        <v>1.2271999999999998</v>
      </c>
      <c r="J92" s="6">
        <v>14</v>
      </c>
      <c r="K92" s="31">
        <v>0.3</v>
      </c>
      <c r="L92" s="34">
        <v>60</v>
      </c>
      <c r="M92" s="34">
        <v>12</v>
      </c>
      <c r="N92" s="16">
        <v>19.812000000000001</v>
      </c>
      <c r="O92" s="46" t="s">
        <v>10</v>
      </c>
      <c r="P92" s="61">
        <f t="shared" si="3"/>
        <v>0.18799999999999883</v>
      </c>
    </row>
    <row r="93" spans="2:16" x14ac:dyDescent="0.35">
      <c r="B93" s="6">
        <v>15</v>
      </c>
      <c r="C93" s="31">
        <v>0.3</v>
      </c>
      <c r="D93" s="34">
        <v>60</v>
      </c>
      <c r="E93" s="34">
        <v>13</v>
      </c>
      <c r="F93" s="16">
        <v>21.082999999999998</v>
      </c>
      <c r="G93" s="46" t="s">
        <v>7</v>
      </c>
      <c r="H93" s="61">
        <f t="shared" si="2"/>
        <v>1.0829999999999984</v>
      </c>
      <c r="J93" s="6">
        <v>14</v>
      </c>
      <c r="K93" s="31">
        <v>0.3</v>
      </c>
      <c r="L93" s="34">
        <v>60</v>
      </c>
      <c r="M93" s="34">
        <v>13</v>
      </c>
      <c r="N93" s="16">
        <v>19.677499999999998</v>
      </c>
      <c r="O93" s="46" t="s">
        <v>10</v>
      </c>
      <c r="P93" s="61">
        <f t="shared" si="3"/>
        <v>0.32250000000000156</v>
      </c>
    </row>
    <row r="94" spans="2:16" x14ac:dyDescent="0.35">
      <c r="B94" s="6">
        <v>15</v>
      </c>
      <c r="C94" s="31">
        <v>0.3</v>
      </c>
      <c r="D94" s="34">
        <v>60</v>
      </c>
      <c r="E94" s="34">
        <v>14</v>
      </c>
      <c r="F94" s="16">
        <v>21.248899999999999</v>
      </c>
      <c r="G94" s="46" t="s">
        <v>7</v>
      </c>
      <c r="H94" s="61">
        <f t="shared" si="2"/>
        <v>1.248899999999999</v>
      </c>
      <c r="J94" s="6">
        <v>14</v>
      </c>
      <c r="K94" s="31">
        <v>0.3</v>
      </c>
      <c r="L94" s="34">
        <v>60</v>
      </c>
      <c r="M94" s="34">
        <v>14</v>
      </c>
      <c r="N94" s="16">
        <v>19.8323</v>
      </c>
      <c r="O94" s="46" t="s">
        <v>10</v>
      </c>
      <c r="P94" s="61">
        <f t="shared" si="3"/>
        <v>0.16769999999999996</v>
      </c>
    </row>
    <row r="95" spans="2:16" x14ac:dyDescent="0.35">
      <c r="B95" s="37">
        <v>15</v>
      </c>
      <c r="C95" s="38">
        <v>0.3</v>
      </c>
      <c r="D95" s="39">
        <v>60</v>
      </c>
      <c r="E95" s="39">
        <v>15</v>
      </c>
      <c r="F95" s="40">
        <v>21.495999999999999</v>
      </c>
      <c r="G95" s="47" t="s">
        <v>7</v>
      </c>
      <c r="H95" s="62">
        <f t="shared" si="2"/>
        <v>1.4959999999999987</v>
      </c>
      <c r="J95" s="37">
        <v>14</v>
      </c>
      <c r="K95" s="38">
        <v>0.3</v>
      </c>
      <c r="L95" s="39">
        <v>60</v>
      </c>
      <c r="M95" s="39">
        <v>15</v>
      </c>
      <c r="N95" s="40">
        <v>20.062899999999999</v>
      </c>
      <c r="O95" s="47" t="s">
        <v>7</v>
      </c>
      <c r="P95" s="62">
        <f t="shared" si="3"/>
        <v>-6.2899999999999068E-2</v>
      </c>
    </row>
    <row r="96" spans="2:16" x14ac:dyDescent="0.35">
      <c r="B96" s="41">
        <v>15</v>
      </c>
      <c r="C96" s="42">
        <v>0.1</v>
      </c>
      <c r="D96" s="43">
        <v>10</v>
      </c>
      <c r="E96" s="43">
        <v>11</v>
      </c>
      <c r="F96" s="44">
        <v>22.314599999999999</v>
      </c>
      <c r="G96" s="48" t="s">
        <v>7</v>
      </c>
      <c r="H96" s="61">
        <f t="shared" si="2"/>
        <v>2.3145999999999987</v>
      </c>
      <c r="J96" s="41">
        <v>14</v>
      </c>
      <c r="K96" s="42">
        <v>0.1</v>
      </c>
      <c r="L96" s="43">
        <v>10</v>
      </c>
      <c r="M96" s="43">
        <v>11</v>
      </c>
      <c r="N96" s="44">
        <v>20.827000000000002</v>
      </c>
      <c r="O96" s="48" t="s">
        <v>7</v>
      </c>
      <c r="P96" s="61">
        <f t="shared" si="3"/>
        <v>-0.82700000000000173</v>
      </c>
    </row>
    <row r="97" spans="2:16" x14ac:dyDescent="0.35">
      <c r="B97" s="6">
        <v>15</v>
      </c>
      <c r="C97" s="31">
        <v>0.1</v>
      </c>
      <c r="D97" s="34">
        <v>10</v>
      </c>
      <c r="E97" s="34">
        <v>12</v>
      </c>
      <c r="F97" s="16">
        <v>21.617599999999999</v>
      </c>
      <c r="G97" s="46" t="s">
        <v>7</v>
      </c>
      <c r="H97" s="61">
        <f t="shared" si="2"/>
        <v>1.6175999999999995</v>
      </c>
      <c r="J97" s="6">
        <v>14</v>
      </c>
      <c r="K97" s="31">
        <v>0.1</v>
      </c>
      <c r="L97" s="34">
        <v>10</v>
      </c>
      <c r="M97" s="34">
        <v>12</v>
      </c>
      <c r="N97" s="16">
        <v>20.176400000000001</v>
      </c>
      <c r="O97" s="46" t="s">
        <v>7</v>
      </c>
      <c r="P97" s="61">
        <f t="shared" si="3"/>
        <v>-0.176400000000001</v>
      </c>
    </row>
    <row r="98" spans="2:16" x14ac:dyDescent="0.35">
      <c r="B98" s="6">
        <v>15</v>
      </c>
      <c r="C98" s="31">
        <v>0.1</v>
      </c>
      <c r="D98" s="34">
        <v>10</v>
      </c>
      <c r="E98" s="34">
        <v>13</v>
      </c>
      <c r="F98" s="16">
        <v>20.706099999999999</v>
      </c>
      <c r="G98" s="46" t="s">
        <v>7</v>
      </c>
      <c r="H98" s="61">
        <f t="shared" si="2"/>
        <v>0.70609999999999928</v>
      </c>
      <c r="J98" s="6">
        <v>14</v>
      </c>
      <c r="K98" s="31">
        <v>0.1</v>
      </c>
      <c r="L98" s="34">
        <v>10</v>
      </c>
      <c r="M98" s="34">
        <v>13</v>
      </c>
      <c r="N98" s="16">
        <v>19.325700000000001</v>
      </c>
      <c r="O98" s="46" t="s">
        <v>10</v>
      </c>
      <c r="P98" s="61">
        <f t="shared" si="3"/>
        <v>0.67429999999999879</v>
      </c>
    </row>
    <row r="99" spans="2:16" x14ac:dyDescent="0.35">
      <c r="B99" s="6">
        <v>15</v>
      </c>
      <c r="C99" s="31">
        <v>0.1</v>
      </c>
      <c r="D99" s="34">
        <v>10</v>
      </c>
      <c r="E99" s="34">
        <v>14</v>
      </c>
      <c r="F99" s="16">
        <v>20.337499999999999</v>
      </c>
      <c r="G99" s="46" t="s">
        <v>7</v>
      </c>
      <c r="H99" s="61">
        <f t="shared" si="2"/>
        <v>0.33749999999999858</v>
      </c>
      <c r="J99" s="6">
        <v>14</v>
      </c>
      <c r="K99" s="31">
        <v>0.1</v>
      </c>
      <c r="L99" s="34">
        <v>10</v>
      </c>
      <c r="M99" s="34">
        <v>14</v>
      </c>
      <c r="N99" s="16">
        <v>18.9817</v>
      </c>
      <c r="O99" s="46" t="s">
        <v>10</v>
      </c>
      <c r="P99" s="61">
        <f t="shared" si="3"/>
        <v>1.0183</v>
      </c>
    </row>
    <row r="100" spans="2:16" x14ac:dyDescent="0.35">
      <c r="B100" s="37">
        <v>15</v>
      </c>
      <c r="C100" s="38">
        <v>0.1</v>
      </c>
      <c r="D100" s="39">
        <v>10</v>
      </c>
      <c r="E100" s="39">
        <v>15</v>
      </c>
      <c r="F100" s="40">
        <v>20.293600000000001</v>
      </c>
      <c r="G100" s="47" t="s">
        <v>7</v>
      </c>
      <c r="H100" s="62">
        <f t="shared" si="2"/>
        <v>0.29360000000000142</v>
      </c>
      <c r="J100" s="37">
        <v>14</v>
      </c>
      <c r="K100" s="38">
        <v>0.1</v>
      </c>
      <c r="L100" s="39">
        <v>10</v>
      </c>
      <c r="M100" s="39">
        <v>15</v>
      </c>
      <c r="N100" s="40">
        <v>18.9407</v>
      </c>
      <c r="O100" s="47" t="s">
        <v>10</v>
      </c>
      <c r="P100" s="62">
        <f t="shared" si="3"/>
        <v>1.0593000000000004</v>
      </c>
    </row>
    <row r="101" spans="2:16" x14ac:dyDescent="0.35">
      <c r="B101" s="41">
        <v>15</v>
      </c>
      <c r="C101" s="42">
        <v>0.1</v>
      </c>
      <c r="D101" s="43">
        <v>20</v>
      </c>
      <c r="E101" s="43">
        <v>11</v>
      </c>
      <c r="F101" s="44">
        <v>21.853100000000001</v>
      </c>
      <c r="G101" s="48" t="s">
        <v>7</v>
      </c>
      <c r="H101" s="61">
        <f t="shared" si="2"/>
        <v>1.8531000000000013</v>
      </c>
      <c r="J101" s="41">
        <v>14</v>
      </c>
      <c r="K101" s="42">
        <v>0.1</v>
      </c>
      <c r="L101" s="43">
        <v>20</v>
      </c>
      <c r="M101" s="43">
        <v>11</v>
      </c>
      <c r="N101" s="44">
        <v>20.3963</v>
      </c>
      <c r="O101" s="48" t="s">
        <v>7</v>
      </c>
      <c r="P101" s="61">
        <f t="shared" si="3"/>
        <v>-0.3963000000000001</v>
      </c>
    </row>
    <row r="102" spans="2:16" x14ac:dyDescent="0.35">
      <c r="B102" s="6">
        <v>15</v>
      </c>
      <c r="C102" s="31">
        <v>0.1</v>
      </c>
      <c r="D102" s="34">
        <v>20</v>
      </c>
      <c r="E102" s="34">
        <v>12</v>
      </c>
      <c r="F102" s="16">
        <v>20.880500000000001</v>
      </c>
      <c r="G102" s="46" t="s">
        <v>7</v>
      </c>
      <c r="H102" s="61">
        <f t="shared" si="2"/>
        <v>0.88050000000000139</v>
      </c>
      <c r="J102" s="6">
        <v>14</v>
      </c>
      <c r="K102" s="31">
        <v>0.1</v>
      </c>
      <c r="L102" s="34">
        <v>20</v>
      </c>
      <c r="M102" s="34">
        <v>12</v>
      </c>
      <c r="N102" s="16">
        <v>19.488499999999998</v>
      </c>
      <c r="O102" s="46" t="s">
        <v>10</v>
      </c>
      <c r="P102" s="61">
        <f t="shared" si="3"/>
        <v>0.51150000000000162</v>
      </c>
    </row>
    <row r="103" spans="2:16" x14ac:dyDescent="0.35">
      <c r="B103" s="6">
        <v>15</v>
      </c>
      <c r="C103" s="31">
        <v>0.1</v>
      </c>
      <c r="D103" s="34">
        <v>20</v>
      </c>
      <c r="E103" s="34">
        <v>13</v>
      </c>
      <c r="F103" s="16">
        <v>20.4725</v>
      </c>
      <c r="G103" s="46" t="s">
        <v>7</v>
      </c>
      <c r="H103" s="61">
        <f t="shared" si="2"/>
        <v>0.47250000000000014</v>
      </c>
      <c r="J103" s="6">
        <v>14</v>
      </c>
      <c r="K103" s="31">
        <v>0.1</v>
      </c>
      <c r="L103" s="34">
        <v>20</v>
      </c>
      <c r="M103" s="34">
        <v>13</v>
      </c>
      <c r="N103" s="16">
        <v>19.107700000000001</v>
      </c>
      <c r="O103" s="46" t="s">
        <v>10</v>
      </c>
      <c r="P103" s="61">
        <f t="shared" si="3"/>
        <v>0.89229999999999876</v>
      </c>
    </row>
    <row r="104" spans="2:16" x14ac:dyDescent="0.35">
      <c r="B104" s="6">
        <v>15</v>
      </c>
      <c r="C104" s="31">
        <v>0.1</v>
      </c>
      <c r="D104" s="34">
        <v>20</v>
      </c>
      <c r="E104" s="34">
        <v>14</v>
      </c>
      <c r="F104" s="16">
        <v>20.397500000000001</v>
      </c>
      <c r="G104" s="46" t="s">
        <v>7</v>
      </c>
      <c r="H104" s="61">
        <f t="shared" si="2"/>
        <v>0.39750000000000085</v>
      </c>
      <c r="J104" s="6">
        <v>14</v>
      </c>
      <c r="K104" s="31">
        <v>0.1</v>
      </c>
      <c r="L104" s="34">
        <v>20</v>
      </c>
      <c r="M104" s="34">
        <v>14</v>
      </c>
      <c r="N104" s="16">
        <v>19.037700000000001</v>
      </c>
      <c r="O104" s="46" t="s">
        <v>10</v>
      </c>
      <c r="P104" s="61">
        <f t="shared" si="3"/>
        <v>0.96229999999999905</v>
      </c>
    </row>
    <row r="105" spans="2:16" x14ac:dyDescent="0.35">
      <c r="B105" s="37">
        <v>15</v>
      </c>
      <c r="C105" s="38">
        <v>0.1</v>
      </c>
      <c r="D105" s="39">
        <v>20</v>
      </c>
      <c r="E105" s="39">
        <v>15</v>
      </c>
      <c r="F105" s="40">
        <v>20.632999999999999</v>
      </c>
      <c r="G105" s="47" t="s">
        <v>7</v>
      </c>
      <c r="H105" s="62">
        <f t="shared" si="2"/>
        <v>0.63299999999999912</v>
      </c>
      <c r="J105" s="37">
        <v>14</v>
      </c>
      <c r="K105" s="38">
        <v>0.1</v>
      </c>
      <c r="L105" s="39">
        <v>20</v>
      </c>
      <c r="M105" s="39">
        <v>15</v>
      </c>
      <c r="N105" s="40">
        <v>19.2575</v>
      </c>
      <c r="O105" s="47" t="s">
        <v>10</v>
      </c>
      <c r="P105" s="62">
        <f t="shared" si="3"/>
        <v>0.74249999999999972</v>
      </c>
    </row>
    <row r="106" spans="2:16" x14ac:dyDescent="0.35">
      <c r="B106" s="41">
        <v>15</v>
      </c>
      <c r="C106" s="42">
        <v>0.1</v>
      </c>
      <c r="D106" s="43">
        <v>30</v>
      </c>
      <c r="E106" s="43">
        <v>11</v>
      </c>
      <c r="F106" s="44">
        <v>21.465199999999999</v>
      </c>
      <c r="G106" s="48" t="s">
        <v>7</v>
      </c>
      <c r="H106" s="61">
        <f t="shared" si="2"/>
        <v>1.4651999999999994</v>
      </c>
      <c r="J106" s="41">
        <v>14</v>
      </c>
      <c r="K106" s="42">
        <v>0.1</v>
      </c>
      <c r="L106" s="43">
        <v>30</v>
      </c>
      <c r="M106" s="43">
        <v>11</v>
      </c>
      <c r="N106" s="44">
        <v>20.034199999999998</v>
      </c>
      <c r="O106" s="48" t="s">
        <v>7</v>
      </c>
      <c r="P106" s="61">
        <f t="shared" si="3"/>
        <v>-3.4199999999998454E-2</v>
      </c>
    </row>
    <row r="107" spans="2:16" x14ac:dyDescent="0.35">
      <c r="B107" s="6">
        <v>15</v>
      </c>
      <c r="C107" s="31">
        <v>0.1</v>
      </c>
      <c r="D107" s="34">
        <v>30</v>
      </c>
      <c r="E107" s="34">
        <v>12</v>
      </c>
      <c r="F107" s="16">
        <v>20.823799999999999</v>
      </c>
      <c r="G107" s="46" t="s">
        <v>7</v>
      </c>
      <c r="H107" s="61">
        <f t="shared" si="2"/>
        <v>0.82379999999999853</v>
      </c>
      <c r="J107" s="6">
        <v>14</v>
      </c>
      <c r="K107" s="31">
        <v>0.1</v>
      </c>
      <c r="L107" s="34">
        <v>30</v>
      </c>
      <c r="M107" s="34">
        <v>12</v>
      </c>
      <c r="N107" s="16">
        <v>19.435500000000001</v>
      </c>
      <c r="O107" s="46" t="s">
        <v>10</v>
      </c>
      <c r="P107" s="61">
        <f t="shared" si="3"/>
        <v>0.56449999999999889</v>
      </c>
    </row>
    <row r="108" spans="2:16" x14ac:dyDescent="0.35">
      <c r="B108" s="6">
        <v>15</v>
      </c>
      <c r="C108" s="31">
        <v>0.1</v>
      </c>
      <c r="D108" s="34">
        <v>30</v>
      </c>
      <c r="E108" s="34">
        <v>13</v>
      </c>
      <c r="F108" s="16">
        <v>20.603100000000001</v>
      </c>
      <c r="G108" s="46" t="s">
        <v>7</v>
      </c>
      <c r="H108" s="61">
        <f t="shared" si="2"/>
        <v>0.6031000000000013</v>
      </c>
      <c r="J108" s="6">
        <v>14</v>
      </c>
      <c r="K108" s="31">
        <v>0.1</v>
      </c>
      <c r="L108" s="34">
        <v>30</v>
      </c>
      <c r="M108" s="34">
        <v>13</v>
      </c>
      <c r="N108" s="16">
        <v>19.229500000000002</v>
      </c>
      <c r="O108" s="46" t="s">
        <v>10</v>
      </c>
      <c r="P108" s="61">
        <f t="shared" si="3"/>
        <v>0.77049999999999841</v>
      </c>
    </row>
    <row r="109" spans="2:16" x14ac:dyDescent="0.35">
      <c r="B109" s="6">
        <v>15</v>
      </c>
      <c r="C109" s="31">
        <v>0.1</v>
      </c>
      <c r="D109" s="34">
        <v>30</v>
      </c>
      <c r="E109" s="34">
        <v>14</v>
      </c>
      <c r="F109" s="16">
        <v>20.442399999999999</v>
      </c>
      <c r="G109" s="46" t="s">
        <v>7</v>
      </c>
      <c r="H109" s="61">
        <f t="shared" si="2"/>
        <v>0.44239999999999924</v>
      </c>
      <c r="J109" s="6">
        <v>14</v>
      </c>
      <c r="K109" s="31">
        <v>0.1</v>
      </c>
      <c r="L109" s="34">
        <v>30</v>
      </c>
      <c r="M109" s="34">
        <v>14</v>
      </c>
      <c r="N109" s="16">
        <v>19.079599999999999</v>
      </c>
      <c r="O109" s="46" t="s">
        <v>10</v>
      </c>
      <c r="P109" s="61">
        <f t="shared" si="3"/>
        <v>0.92040000000000077</v>
      </c>
    </row>
    <row r="110" spans="2:16" x14ac:dyDescent="0.35">
      <c r="B110" s="37">
        <v>15</v>
      </c>
      <c r="C110" s="38">
        <v>0.1</v>
      </c>
      <c r="D110" s="39">
        <v>30</v>
      </c>
      <c r="E110" s="39">
        <v>15</v>
      </c>
      <c r="F110" s="40">
        <v>20.677900000000001</v>
      </c>
      <c r="G110" s="47" t="s">
        <v>7</v>
      </c>
      <c r="H110" s="62">
        <f t="shared" si="2"/>
        <v>0.67790000000000106</v>
      </c>
      <c r="J110" s="37">
        <v>14</v>
      </c>
      <c r="K110" s="38">
        <v>0.1</v>
      </c>
      <c r="L110" s="39">
        <v>30</v>
      </c>
      <c r="M110" s="39">
        <v>15</v>
      </c>
      <c r="N110" s="40">
        <v>19.299399999999999</v>
      </c>
      <c r="O110" s="47" t="s">
        <v>10</v>
      </c>
      <c r="P110" s="62">
        <f t="shared" si="3"/>
        <v>0.70060000000000144</v>
      </c>
    </row>
    <row r="111" spans="2:16" x14ac:dyDescent="0.35">
      <c r="B111" s="41">
        <v>15</v>
      </c>
      <c r="C111" s="42">
        <v>0.1</v>
      </c>
      <c r="D111" s="43">
        <v>40</v>
      </c>
      <c r="E111" s="43">
        <v>11</v>
      </c>
      <c r="F111" s="44">
        <v>21.703199999999999</v>
      </c>
      <c r="G111" s="48" t="s">
        <v>7</v>
      </c>
      <c r="H111" s="61">
        <f t="shared" si="2"/>
        <v>1.7031999999999989</v>
      </c>
      <c r="J111" s="41">
        <v>14</v>
      </c>
      <c r="K111" s="42">
        <v>0.1</v>
      </c>
      <c r="L111" s="43">
        <v>40</v>
      </c>
      <c r="M111" s="43">
        <v>11</v>
      </c>
      <c r="N111" s="44">
        <v>20.2563</v>
      </c>
      <c r="O111" s="48" t="s">
        <v>7</v>
      </c>
      <c r="P111" s="61">
        <f t="shared" si="3"/>
        <v>-0.25629999999999953</v>
      </c>
    </row>
    <row r="112" spans="2:16" x14ac:dyDescent="0.35">
      <c r="B112" s="6">
        <v>15</v>
      </c>
      <c r="C112" s="31">
        <v>0.1</v>
      </c>
      <c r="D112" s="34">
        <v>40</v>
      </c>
      <c r="E112" s="34">
        <v>12</v>
      </c>
      <c r="F112" s="16">
        <v>21.022500000000001</v>
      </c>
      <c r="G112" s="46" t="s">
        <v>7</v>
      </c>
      <c r="H112" s="61">
        <f t="shared" si="2"/>
        <v>1.0225000000000009</v>
      </c>
      <c r="J112" s="6">
        <v>14</v>
      </c>
      <c r="K112" s="31">
        <v>0.1</v>
      </c>
      <c r="L112" s="34">
        <v>40</v>
      </c>
      <c r="M112" s="34">
        <v>12</v>
      </c>
      <c r="N112" s="16">
        <v>19.620999999999999</v>
      </c>
      <c r="O112" s="46" t="s">
        <v>10</v>
      </c>
      <c r="P112" s="61">
        <f t="shared" si="3"/>
        <v>0.37900000000000134</v>
      </c>
    </row>
    <row r="113" spans="2:16" x14ac:dyDescent="0.35">
      <c r="B113" s="6">
        <v>15</v>
      </c>
      <c r="C113" s="31">
        <v>0.1</v>
      </c>
      <c r="D113" s="34">
        <v>40</v>
      </c>
      <c r="E113" s="34">
        <v>13</v>
      </c>
      <c r="F113" s="16">
        <v>20.662600000000001</v>
      </c>
      <c r="G113" s="46" t="s">
        <v>7</v>
      </c>
      <c r="H113" s="61">
        <f t="shared" si="2"/>
        <v>0.66260000000000119</v>
      </c>
      <c r="J113" s="6">
        <v>14</v>
      </c>
      <c r="K113" s="31">
        <v>0.1</v>
      </c>
      <c r="L113" s="34">
        <v>40</v>
      </c>
      <c r="M113" s="34">
        <v>13</v>
      </c>
      <c r="N113" s="16">
        <v>19.2851</v>
      </c>
      <c r="O113" s="46" t="s">
        <v>10</v>
      </c>
      <c r="P113" s="61">
        <f t="shared" si="3"/>
        <v>0.71490000000000009</v>
      </c>
    </row>
    <row r="114" spans="2:16" x14ac:dyDescent="0.35">
      <c r="B114" s="6">
        <v>15</v>
      </c>
      <c r="C114" s="31">
        <v>0.1</v>
      </c>
      <c r="D114" s="34">
        <v>40</v>
      </c>
      <c r="E114" s="34">
        <v>14</v>
      </c>
      <c r="F114" s="16">
        <v>20.5977</v>
      </c>
      <c r="G114" s="46" t="s">
        <v>7</v>
      </c>
      <c r="H114" s="61">
        <f t="shared" si="2"/>
        <v>0.59769999999999968</v>
      </c>
      <c r="J114" s="6">
        <v>14</v>
      </c>
      <c r="K114" s="31">
        <v>0.1</v>
      </c>
      <c r="L114" s="34">
        <v>40</v>
      </c>
      <c r="M114" s="34">
        <v>14</v>
      </c>
      <c r="N114" s="16">
        <v>19.224499999999999</v>
      </c>
      <c r="O114" s="46" t="s">
        <v>10</v>
      </c>
      <c r="P114" s="61">
        <f t="shared" si="3"/>
        <v>0.77550000000000097</v>
      </c>
    </row>
    <row r="115" spans="2:16" x14ac:dyDescent="0.35">
      <c r="B115" s="37">
        <v>15</v>
      </c>
      <c r="C115" s="38">
        <v>0.1</v>
      </c>
      <c r="D115" s="39">
        <v>40</v>
      </c>
      <c r="E115" s="39">
        <v>15</v>
      </c>
      <c r="F115" s="40">
        <v>20.9757</v>
      </c>
      <c r="G115" s="47" t="s">
        <v>7</v>
      </c>
      <c r="H115" s="62">
        <f t="shared" si="2"/>
        <v>0.97569999999999979</v>
      </c>
      <c r="J115" s="37">
        <v>14</v>
      </c>
      <c r="K115" s="38">
        <v>0.1</v>
      </c>
      <c r="L115" s="39">
        <v>40</v>
      </c>
      <c r="M115" s="39">
        <v>15</v>
      </c>
      <c r="N115" s="40">
        <v>19.577300000000001</v>
      </c>
      <c r="O115" s="47" t="s">
        <v>10</v>
      </c>
      <c r="P115" s="62">
        <f t="shared" si="3"/>
        <v>0.42269999999999897</v>
      </c>
    </row>
    <row r="116" spans="2:16" x14ac:dyDescent="0.35">
      <c r="B116" s="41">
        <v>15</v>
      </c>
      <c r="C116" s="42">
        <v>0.1</v>
      </c>
      <c r="D116" s="43">
        <v>50</v>
      </c>
      <c r="E116" s="43">
        <v>11</v>
      </c>
      <c r="F116" s="44">
        <v>21.326000000000001</v>
      </c>
      <c r="G116" s="48" t="s">
        <v>7</v>
      </c>
      <c r="H116" s="61">
        <f t="shared" si="2"/>
        <v>1.3260000000000005</v>
      </c>
      <c r="J116" s="41">
        <v>14</v>
      </c>
      <c r="K116" s="42">
        <v>0.1</v>
      </c>
      <c r="L116" s="43">
        <v>50</v>
      </c>
      <c r="M116" s="43">
        <v>11</v>
      </c>
      <c r="N116" s="44">
        <v>19.904299999999999</v>
      </c>
      <c r="O116" s="48" t="s">
        <v>10</v>
      </c>
      <c r="P116" s="61">
        <f t="shared" si="3"/>
        <v>9.5700000000000784E-2</v>
      </c>
    </row>
    <row r="117" spans="2:16" x14ac:dyDescent="0.35">
      <c r="B117" s="6">
        <v>15</v>
      </c>
      <c r="C117" s="31">
        <v>0.1</v>
      </c>
      <c r="D117" s="34">
        <v>50</v>
      </c>
      <c r="E117" s="34">
        <v>12</v>
      </c>
      <c r="F117" s="16">
        <v>21.077400000000001</v>
      </c>
      <c r="G117" s="46" t="s">
        <v>7</v>
      </c>
      <c r="H117" s="61">
        <f t="shared" si="2"/>
        <v>1.0774000000000008</v>
      </c>
      <c r="J117" s="6">
        <v>14</v>
      </c>
      <c r="K117" s="31">
        <v>0.1</v>
      </c>
      <c r="L117" s="34">
        <v>50</v>
      </c>
      <c r="M117" s="34">
        <v>12</v>
      </c>
      <c r="N117" s="16">
        <v>19.6722</v>
      </c>
      <c r="O117" s="46" t="s">
        <v>10</v>
      </c>
      <c r="P117" s="61">
        <f t="shared" si="3"/>
        <v>0.32779999999999987</v>
      </c>
    </row>
    <row r="118" spans="2:16" x14ac:dyDescent="0.35">
      <c r="B118" s="6">
        <v>15</v>
      </c>
      <c r="C118" s="31">
        <v>0.1</v>
      </c>
      <c r="D118" s="34">
        <v>50</v>
      </c>
      <c r="E118" s="34">
        <v>13</v>
      </c>
      <c r="F118" s="16">
        <v>20.776599999999998</v>
      </c>
      <c r="G118" s="46" t="s">
        <v>7</v>
      </c>
      <c r="H118" s="61">
        <f t="shared" si="2"/>
        <v>0.7765999999999984</v>
      </c>
      <c r="J118" s="6">
        <v>14</v>
      </c>
      <c r="K118" s="31">
        <v>0.1</v>
      </c>
      <c r="L118" s="34">
        <v>50</v>
      </c>
      <c r="M118" s="34">
        <v>13</v>
      </c>
      <c r="N118" s="16">
        <v>19.391500000000001</v>
      </c>
      <c r="O118" s="46" t="s">
        <v>10</v>
      </c>
      <c r="P118" s="61">
        <f t="shared" si="3"/>
        <v>0.60849999999999937</v>
      </c>
    </row>
    <row r="119" spans="2:16" x14ac:dyDescent="0.35">
      <c r="B119" s="6">
        <v>15</v>
      </c>
      <c r="C119" s="31">
        <v>0.1</v>
      </c>
      <c r="D119" s="34">
        <v>50</v>
      </c>
      <c r="E119" s="34">
        <v>14</v>
      </c>
      <c r="F119" s="16">
        <v>20.883099999999999</v>
      </c>
      <c r="G119" s="46" t="s">
        <v>7</v>
      </c>
      <c r="H119" s="61">
        <f t="shared" si="2"/>
        <v>0.88309999999999889</v>
      </c>
      <c r="J119" s="6">
        <v>14</v>
      </c>
      <c r="K119" s="31">
        <v>0.1</v>
      </c>
      <c r="L119" s="34">
        <v>50</v>
      </c>
      <c r="M119" s="34">
        <v>14</v>
      </c>
      <c r="N119" s="16">
        <v>19.4909</v>
      </c>
      <c r="O119" s="46" t="s">
        <v>10</v>
      </c>
      <c r="P119" s="61">
        <f t="shared" si="3"/>
        <v>0.50910000000000011</v>
      </c>
    </row>
    <row r="120" spans="2:16" x14ac:dyDescent="0.35">
      <c r="B120" s="37">
        <v>15</v>
      </c>
      <c r="C120" s="38">
        <v>0.1</v>
      </c>
      <c r="D120" s="39">
        <v>50</v>
      </c>
      <c r="E120" s="39">
        <v>15</v>
      </c>
      <c r="F120" s="40">
        <v>21.2346</v>
      </c>
      <c r="G120" s="47" t="s">
        <v>7</v>
      </c>
      <c r="H120" s="62">
        <f t="shared" si="2"/>
        <v>1.2346000000000004</v>
      </c>
      <c r="J120" s="37">
        <v>14</v>
      </c>
      <c r="K120" s="38">
        <v>0.1</v>
      </c>
      <c r="L120" s="39">
        <v>50</v>
      </c>
      <c r="M120" s="39">
        <v>15</v>
      </c>
      <c r="N120" s="40">
        <v>19.818999999999999</v>
      </c>
      <c r="O120" s="47" t="s">
        <v>10</v>
      </c>
      <c r="P120" s="62">
        <f t="shared" si="3"/>
        <v>0.18100000000000094</v>
      </c>
    </row>
    <row r="121" spans="2:16" x14ac:dyDescent="0.35">
      <c r="B121" s="41">
        <v>15</v>
      </c>
      <c r="C121" s="42">
        <v>0.1</v>
      </c>
      <c r="D121" s="43">
        <v>60</v>
      </c>
      <c r="E121" s="43">
        <v>11</v>
      </c>
      <c r="F121" s="44">
        <v>21.7349</v>
      </c>
      <c r="G121" s="48" t="s">
        <v>7</v>
      </c>
      <c r="H121" s="61">
        <f t="shared" si="2"/>
        <v>1.7348999999999997</v>
      </c>
      <c r="J121" s="41">
        <v>14</v>
      </c>
      <c r="K121" s="42">
        <v>0.1</v>
      </c>
      <c r="L121" s="43">
        <v>60</v>
      </c>
      <c r="M121" s="43">
        <v>11</v>
      </c>
      <c r="N121" s="44">
        <v>20.285900000000002</v>
      </c>
      <c r="O121" s="48" t="s">
        <v>7</v>
      </c>
      <c r="P121" s="61">
        <f t="shared" si="3"/>
        <v>-0.2859000000000016</v>
      </c>
    </row>
    <row r="122" spans="2:16" x14ac:dyDescent="0.35">
      <c r="B122" s="6">
        <v>15</v>
      </c>
      <c r="C122" s="31">
        <v>0.1</v>
      </c>
      <c r="D122" s="34">
        <v>60</v>
      </c>
      <c r="E122" s="34">
        <v>12</v>
      </c>
      <c r="F122" s="16">
        <v>21.1783</v>
      </c>
      <c r="G122" s="46" t="s">
        <v>7</v>
      </c>
      <c r="H122" s="61">
        <f t="shared" si="2"/>
        <v>1.1783000000000001</v>
      </c>
      <c r="J122" s="6">
        <v>14</v>
      </c>
      <c r="K122" s="31">
        <v>0.1</v>
      </c>
      <c r="L122" s="34">
        <v>60</v>
      </c>
      <c r="M122" s="34">
        <v>12</v>
      </c>
      <c r="N122" s="16">
        <v>19.766400000000001</v>
      </c>
      <c r="O122" s="46" t="s">
        <v>10</v>
      </c>
      <c r="P122" s="61">
        <f t="shared" si="3"/>
        <v>0.23359999999999914</v>
      </c>
    </row>
    <row r="123" spans="2:16" x14ac:dyDescent="0.35">
      <c r="B123" s="6">
        <v>15</v>
      </c>
      <c r="C123" s="31">
        <v>0.1</v>
      </c>
      <c r="D123" s="34">
        <v>60</v>
      </c>
      <c r="E123" s="34">
        <v>13</v>
      </c>
      <c r="F123" s="16">
        <v>21.0503</v>
      </c>
      <c r="G123" s="46" t="s">
        <v>7</v>
      </c>
      <c r="H123" s="61">
        <f t="shared" si="2"/>
        <v>1.0503</v>
      </c>
      <c r="J123" s="6">
        <v>14</v>
      </c>
      <c r="K123" s="31">
        <v>0.1</v>
      </c>
      <c r="L123" s="34">
        <v>60</v>
      </c>
      <c r="M123" s="34">
        <v>13</v>
      </c>
      <c r="N123" s="16">
        <v>19.646899999999999</v>
      </c>
      <c r="O123" s="46" t="s">
        <v>10</v>
      </c>
      <c r="P123" s="61">
        <f t="shared" si="3"/>
        <v>0.3531000000000013</v>
      </c>
    </row>
    <row r="124" spans="2:16" x14ac:dyDescent="0.35">
      <c r="B124" s="6">
        <v>15</v>
      </c>
      <c r="C124" s="31">
        <v>0.1</v>
      </c>
      <c r="D124" s="34">
        <v>60</v>
      </c>
      <c r="E124" s="34">
        <v>14</v>
      </c>
      <c r="F124" s="16">
        <v>20.971699999999998</v>
      </c>
      <c r="G124" s="46" t="s">
        <v>7</v>
      </c>
      <c r="H124" s="61">
        <f t="shared" si="2"/>
        <v>0.97169999999999845</v>
      </c>
      <c r="J124" s="6">
        <v>14</v>
      </c>
      <c r="K124" s="31">
        <v>0.1</v>
      </c>
      <c r="L124" s="34">
        <v>60</v>
      </c>
      <c r="M124" s="34">
        <v>14</v>
      </c>
      <c r="N124" s="16">
        <v>19.573599999999999</v>
      </c>
      <c r="O124" s="46" t="s">
        <v>10</v>
      </c>
      <c r="P124" s="61">
        <f t="shared" si="3"/>
        <v>0.426400000000001</v>
      </c>
    </row>
    <row r="125" spans="2:16" x14ac:dyDescent="0.35">
      <c r="B125" s="37">
        <v>15</v>
      </c>
      <c r="C125" s="38">
        <v>0.1</v>
      </c>
      <c r="D125" s="39">
        <v>60</v>
      </c>
      <c r="E125" s="39">
        <v>15</v>
      </c>
      <c r="F125" s="40">
        <v>21.2178</v>
      </c>
      <c r="G125" s="47" t="s">
        <v>7</v>
      </c>
      <c r="H125" s="62">
        <f t="shared" si="2"/>
        <v>1.2178000000000004</v>
      </c>
      <c r="J125" s="37">
        <v>14</v>
      </c>
      <c r="K125" s="38">
        <v>0.1</v>
      </c>
      <c r="L125" s="39">
        <v>60</v>
      </c>
      <c r="M125" s="39">
        <v>15</v>
      </c>
      <c r="N125" s="40">
        <v>19.8033</v>
      </c>
      <c r="O125" s="47" t="s">
        <v>10</v>
      </c>
      <c r="P125" s="62">
        <f t="shared" si="3"/>
        <v>0.19669999999999987</v>
      </c>
    </row>
    <row r="126" spans="2:16" x14ac:dyDescent="0.35">
      <c r="B126" s="41">
        <v>15</v>
      </c>
      <c r="C126" s="42">
        <v>0.05</v>
      </c>
      <c r="D126" s="43">
        <v>10</v>
      </c>
      <c r="E126" s="43">
        <v>11</v>
      </c>
      <c r="F126" s="44">
        <v>22.420400000000001</v>
      </c>
      <c r="G126" s="48" t="s">
        <v>7</v>
      </c>
      <c r="H126" s="61">
        <f t="shared" si="2"/>
        <v>2.4204000000000008</v>
      </c>
      <c r="J126" s="41">
        <v>14</v>
      </c>
      <c r="K126" s="42">
        <v>0.05</v>
      </c>
      <c r="L126" s="43">
        <v>10</v>
      </c>
      <c r="M126" s="43">
        <v>11</v>
      </c>
      <c r="N126" s="44">
        <v>20.925699999999999</v>
      </c>
      <c r="O126" s="48" t="s">
        <v>7</v>
      </c>
      <c r="P126" s="61">
        <f t="shared" si="3"/>
        <v>-0.92569999999999908</v>
      </c>
    </row>
    <row r="127" spans="2:16" x14ac:dyDescent="0.35">
      <c r="B127" s="6">
        <v>15</v>
      </c>
      <c r="C127" s="31">
        <v>0.05</v>
      </c>
      <c r="D127" s="34">
        <v>10</v>
      </c>
      <c r="E127" s="34">
        <v>12</v>
      </c>
      <c r="F127" s="16">
        <v>21.6266</v>
      </c>
      <c r="G127" s="46" t="s">
        <v>7</v>
      </c>
      <c r="H127" s="61">
        <f t="shared" si="2"/>
        <v>1.6265999999999998</v>
      </c>
      <c r="J127" s="6">
        <v>14</v>
      </c>
      <c r="K127" s="31">
        <v>0.05</v>
      </c>
      <c r="L127" s="34">
        <v>10</v>
      </c>
      <c r="M127" s="34">
        <v>12</v>
      </c>
      <c r="N127" s="16">
        <v>20.184799999999999</v>
      </c>
      <c r="O127" s="46" t="s">
        <v>7</v>
      </c>
      <c r="P127" s="61">
        <f t="shared" si="3"/>
        <v>-0.18479999999999919</v>
      </c>
    </row>
    <row r="128" spans="2:16" x14ac:dyDescent="0.35">
      <c r="B128" s="6">
        <v>15</v>
      </c>
      <c r="C128" s="31">
        <v>0.05</v>
      </c>
      <c r="D128" s="34">
        <v>10</v>
      </c>
      <c r="E128" s="34">
        <v>13</v>
      </c>
      <c r="F128" s="16">
        <v>20.618400000000001</v>
      </c>
      <c r="G128" s="46" t="s">
        <v>7</v>
      </c>
      <c r="H128" s="61">
        <f t="shared" si="2"/>
        <v>0.61840000000000117</v>
      </c>
      <c r="J128" s="6">
        <v>14</v>
      </c>
      <c r="K128" s="31">
        <v>0.05</v>
      </c>
      <c r="L128" s="34">
        <v>10</v>
      </c>
      <c r="M128" s="34">
        <v>13</v>
      </c>
      <c r="N128" s="16">
        <v>19.2439</v>
      </c>
      <c r="O128" s="46" t="s">
        <v>10</v>
      </c>
      <c r="P128" s="61">
        <f t="shared" si="3"/>
        <v>0.75609999999999999</v>
      </c>
    </row>
    <row r="129" spans="2:16" x14ac:dyDescent="0.35">
      <c r="B129" s="6">
        <v>15</v>
      </c>
      <c r="C129" s="31">
        <v>0.05</v>
      </c>
      <c r="D129" s="34">
        <v>10</v>
      </c>
      <c r="E129" s="34">
        <v>14</v>
      </c>
      <c r="F129" s="16">
        <v>20.3186</v>
      </c>
      <c r="G129" s="46" t="s">
        <v>7</v>
      </c>
      <c r="H129" s="61">
        <f t="shared" si="2"/>
        <v>0.31859999999999999</v>
      </c>
      <c r="J129" s="6">
        <v>14</v>
      </c>
      <c r="K129" s="31">
        <v>0.05</v>
      </c>
      <c r="L129" s="34">
        <v>10</v>
      </c>
      <c r="M129" s="34">
        <v>14</v>
      </c>
      <c r="N129" s="16">
        <v>18.963999999999999</v>
      </c>
      <c r="O129" s="46" t="s">
        <v>10</v>
      </c>
      <c r="P129" s="61">
        <f t="shared" si="3"/>
        <v>1.0360000000000014</v>
      </c>
    </row>
    <row r="130" spans="2:16" x14ac:dyDescent="0.35">
      <c r="B130" s="37">
        <v>15</v>
      </c>
      <c r="C130" s="38">
        <v>0.05</v>
      </c>
      <c r="D130" s="39">
        <v>10</v>
      </c>
      <c r="E130" s="39">
        <v>15</v>
      </c>
      <c r="F130" s="40">
        <v>20.255800000000001</v>
      </c>
      <c r="G130" s="47" t="s">
        <v>7</v>
      </c>
      <c r="H130" s="62">
        <f t="shared" si="2"/>
        <v>0.25580000000000069</v>
      </c>
      <c r="J130" s="37">
        <v>14</v>
      </c>
      <c r="K130" s="38">
        <v>0.05</v>
      </c>
      <c r="L130" s="39">
        <v>10</v>
      </c>
      <c r="M130" s="39">
        <v>15</v>
      </c>
      <c r="N130" s="40">
        <v>18.9054</v>
      </c>
      <c r="O130" s="47" t="s">
        <v>10</v>
      </c>
      <c r="P130" s="62">
        <f t="shared" si="3"/>
        <v>1.0945999999999998</v>
      </c>
    </row>
    <row r="131" spans="2:16" x14ac:dyDescent="0.35">
      <c r="B131" s="41">
        <v>15</v>
      </c>
      <c r="C131" s="42">
        <v>0.05</v>
      </c>
      <c r="D131" s="43">
        <v>20</v>
      </c>
      <c r="E131" s="43">
        <v>11</v>
      </c>
      <c r="F131" s="44">
        <v>21.906400000000001</v>
      </c>
      <c r="G131" s="48" t="s">
        <v>7</v>
      </c>
      <c r="H131" s="61">
        <f t="shared" si="2"/>
        <v>1.9064000000000014</v>
      </c>
      <c r="J131" s="41">
        <v>14</v>
      </c>
      <c r="K131" s="42">
        <v>0.05</v>
      </c>
      <c r="L131" s="43">
        <v>20</v>
      </c>
      <c r="M131" s="43">
        <v>11</v>
      </c>
      <c r="N131" s="44">
        <v>20.446000000000002</v>
      </c>
      <c r="O131" s="48" t="s">
        <v>7</v>
      </c>
      <c r="P131" s="61">
        <f t="shared" si="3"/>
        <v>-0.44600000000000151</v>
      </c>
    </row>
    <row r="132" spans="2:16" x14ac:dyDescent="0.35">
      <c r="B132" s="6">
        <v>15</v>
      </c>
      <c r="C132" s="31">
        <v>0.05</v>
      </c>
      <c r="D132" s="34">
        <v>20</v>
      </c>
      <c r="E132" s="34">
        <v>12</v>
      </c>
      <c r="F132" s="16">
        <v>20.922699999999999</v>
      </c>
      <c r="G132" s="46" t="s">
        <v>7</v>
      </c>
      <c r="H132" s="61">
        <f t="shared" si="2"/>
        <v>0.92269999999999897</v>
      </c>
      <c r="J132" s="6">
        <v>14</v>
      </c>
      <c r="K132" s="31">
        <v>0.05</v>
      </c>
      <c r="L132" s="34">
        <v>20</v>
      </c>
      <c r="M132" s="34">
        <v>12</v>
      </c>
      <c r="N132" s="16">
        <v>19.527799999999999</v>
      </c>
      <c r="O132" s="46" t="s">
        <v>10</v>
      </c>
      <c r="P132" s="61">
        <f t="shared" si="3"/>
        <v>0.47220000000000084</v>
      </c>
    </row>
    <row r="133" spans="2:16" x14ac:dyDescent="0.35">
      <c r="B133" s="6">
        <v>15</v>
      </c>
      <c r="C133" s="31">
        <v>0.05</v>
      </c>
      <c r="D133" s="34">
        <v>20</v>
      </c>
      <c r="E133" s="34">
        <v>13</v>
      </c>
      <c r="F133" s="16">
        <v>20.674199999999999</v>
      </c>
      <c r="G133" s="46" t="s">
        <v>7</v>
      </c>
      <c r="H133" s="61">
        <f t="shared" si="2"/>
        <v>0.67419999999999902</v>
      </c>
      <c r="J133" s="6">
        <v>14</v>
      </c>
      <c r="K133" s="31">
        <v>0.05</v>
      </c>
      <c r="L133" s="34">
        <v>20</v>
      </c>
      <c r="M133" s="34">
        <v>13</v>
      </c>
      <c r="N133" s="16">
        <v>19.2959</v>
      </c>
      <c r="O133" s="46" t="s">
        <v>10</v>
      </c>
      <c r="P133" s="61">
        <f t="shared" si="3"/>
        <v>0.70410000000000039</v>
      </c>
    </row>
    <row r="134" spans="2:16" x14ac:dyDescent="0.35">
      <c r="B134" s="6">
        <v>15</v>
      </c>
      <c r="C134" s="31">
        <v>0.05</v>
      </c>
      <c r="D134" s="34">
        <v>20</v>
      </c>
      <c r="E134" s="34">
        <v>14</v>
      </c>
      <c r="F134" s="16">
        <v>20.377099999999999</v>
      </c>
      <c r="G134" s="46" t="s">
        <v>7</v>
      </c>
      <c r="H134" s="61">
        <f t="shared" si="2"/>
        <v>0.37709999999999866</v>
      </c>
      <c r="J134" s="6">
        <v>14</v>
      </c>
      <c r="K134" s="31">
        <v>0.05</v>
      </c>
      <c r="L134" s="34">
        <v>20</v>
      </c>
      <c r="M134" s="34">
        <v>14</v>
      </c>
      <c r="N134" s="16">
        <v>19.018599999999999</v>
      </c>
      <c r="O134" s="46" t="s">
        <v>10</v>
      </c>
      <c r="P134" s="61">
        <f t="shared" si="3"/>
        <v>0.98140000000000072</v>
      </c>
    </row>
    <row r="135" spans="2:16" x14ac:dyDescent="0.35">
      <c r="B135" s="37">
        <v>15</v>
      </c>
      <c r="C135" s="38">
        <v>0.05</v>
      </c>
      <c r="D135" s="39">
        <v>20</v>
      </c>
      <c r="E135" s="39">
        <v>15</v>
      </c>
      <c r="F135" s="40">
        <v>20.547999999999998</v>
      </c>
      <c r="G135" s="47" t="s">
        <v>7</v>
      </c>
      <c r="H135" s="62">
        <f t="shared" ref="H135:H155" si="4">ABS(20-F135)</f>
        <v>0.54799999999999827</v>
      </c>
      <c r="J135" s="37">
        <v>14</v>
      </c>
      <c r="K135" s="38">
        <v>0.05</v>
      </c>
      <c r="L135" s="39">
        <v>20</v>
      </c>
      <c r="M135" s="39">
        <v>15</v>
      </c>
      <c r="N135" s="40">
        <v>19.1782</v>
      </c>
      <c r="O135" s="47" t="s">
        <v>10</v>
      </c>
      <c r="P135" s="62">
        <f t="shared" ref="P135:P155" si="5">20-N135</f>
        <v>0.82179999999999964</v>
      </c>
    </row>
    <row r="136" spans="2:16" x14ac:dyDescent="0.35">
      <c r="B136" s="41">
        <v>15</v>
      </c>
      <c r="C136" s="42">
        <v>0.05</v>
      </c>
      <c r="D136" s="43">
        <v>30</v>
      </c>
      <c r="E136" s="43">
        <v>11</v>
      </c>
      <c r="F136" s="44">
        <v>21.714099999999998</v>
      </c>
      <c r="G136" s="48" t="s">
        <v>7</v>
      </c>
      <c r="H136" s="61">
        <f t="shared" si="4"/>
        <v>1.7140999999999984</v>
      </c>
      <c r="J136" s="41">
        <v>14</v>
      </c>
      <c r="K136" s="42">
        <v>0.05</v>
      </c>
      <c r="L136" s="43">
        <v>30</v>
      </c>
      <c r="M136" s="43">
        <v>11</v>
      </c>
      <c r="N136" s="44">
        <v>20.266500000000001</v>
      </c>
      <c r="O136" s="48" t="s">
        <v>7</v>
      </c>
      <c r="P136" s="61">
        <f t="shared" si="5"/>
        <v>-0.26650000000000063</v>
      </c>
    </row>
    <row r="137" spans="2:16" x14ac:dyDescent="0.35">
      <c r="B137" s="6">
        <v>15</v>
      </c>
      <c r="C137" s="31">
        <v>0.05</v>
      </c>
      <c r="D137" s="34">
        <v>30</v>
      </c>
      <c r="E137" s="34">
        <v>12</v>
      </c>
      <c r="F137" s="16">
        <v>20.923300000000001</v>
      </c>
      <c r="G137" s="46" t="s">
        <v>7</v>
      </c>
      <c r="H137" s="61">
        <f t="shared" si="4"/>
        <v>0.92330000000000112</v>
      </c>
      <c r="J137" s="6">
        <v>14</v>
      </c>
      <c r="K137" s="31">
        <v>0.05</v>
      </c>
      <c r="L137" s="34">
        <v>30</v>
      </c>
      <c r="M137" s="34">
        <v>12</v>
      </c>
      <c r="N137" s="16">
        <v>19.528400000000001</v>
      </c>
      <c r="O137" s="46" t="s">
        <v>10</v>
      </c>
      <c r="P137" s="61">
        <f t="shared" si="5"/>
        <v>0.47159999999999869</v>
      </c>
    </row>
    <row r="138" spans="2:16" x14ac:dyDescent="0.35">
      <c r="B138" s="6">
        <v>15</v>
      </c>
      <c r="C138" s="31">
        <v>0.05</v>
      </c>
      <c r="D138" s="34">
        <v>30</v>
      </c>
      <c r="E138" s="34">
        <v>13</v>
      </c>
      <c r="F138" s="16">
        <v>20.607600000000001</v>
      </c>
      <c r="G138" s="46" t="s">
        <v>7</v>
      </c>
      <c r="H138" s="61">
        <f t="shared" si="4"/>
        <v>0.60760000000000147</v>
      </c>
      <c r="J138" s="6">
        <v>14</v>
      </c>
      <c r="K138" s="31">
        <v>0.05</v>
      </c>
      <c r="L138" s="34">
        <v>30</v>
      </c>
      <c r="M138" s="34">
        <v>13</v>
      </c>
      <c r="N138" s="16">
        <v>19.233699999999999</v>
      </c>
      <c r="O138" s="46" t="s">
        <v>10</v>
      </c>
      <c r="P138" s="61">
        <f t="shared" si="5"/>
        <v>0.76630000000000109</v>
      </c>
    </row>
    <row r="139" spans="2:16" x14ac:dyDescent="0.35">
      <c r="B139" s="6">
        <v>15</v>
      </c>
      <c r="C139" s="31">
        <v>0.05</v>
      </c>
      <c r="D139" s="34">
        <v>30</v>
      </c>
      <c r="E139" s="34">
        <v>14</v>
      </c>
      <c r="F139" s="16">
        <v>20.420000000000002</v>
      </c>
      <c r="G139" s="46" t="s">
        <v>7</v>
      </c>
      <c r="H139" s="61">
        <f t="shared" si="4"/>
        <v>0.42000000000000171</v>
      </c>
      <c r="J139" s="6">
        <v>14</v>
      </c>
      <c r="K139" s="31">
        <v>0.05</v>
      </c>
      <c r="L139" s="34">
        <v>30</v>
      </c>
      <c r="M139" s="34">
        <v>14</v>
      </c>
      <c r="N139" s="16">
        <v>19.058599999999998</v>
      </c>
      <c r="O139" s="46" t="s">
        <v>10</v>
      </c>
      <c r="P139" s="61">
        <f t="shared" si="5"/>
        <v>0.94140000000000157</v>
      </c>
    </row>
    <row r="140" spans="2:16" x14ac:dyDescent="0.35">
      <c r="B140" s="37">
        <v>15</v>
      </c>
      <c r="C140" s="38">
        <v>0.05</v>
      </c>
      <c r="D140" s="39">
        <v>30</v>
      </c>
      <c r="E140" s="39">
        <v>15</v>
      </c>
      <c r="F140" s="40">
        <v>20.6296</v>
      </c>
      <c r="G140" s="47" t="s">
        <v>7</v>
      </c>
      <c r="H140" s="62">
        <f t="shared" si="4"/>
        <v>0.62959999999999994</v>
      </c>
      <c r="J140" s="37">
        <v>14</v>
      </c>
      <c r="K140" s="38">
        <v>0.05</v>
      </c>
      <c r="L140" s="39">
        <v>30</v>
      </c>
      <c r="M140" s="39">
        <v>15</v>
      </c>
      <c r="N140" s="40">
        <v>19.254300000000001</v>
      </c>
      <c r="O140" s="47" t="s">
        <v>10</v>
      </c>
      <c r="P140" s="62">
        <f t="shared" si="5"/>
        <v>0.74569999999999936</v>
      </c>
    </row>
    <row r="141" spans="2:16" x14ac:dyDescent="0.35">
      <c r="B141" s="41">
        <v>15</v>
      </c>
      <c r="C141" s="42">
        <v>0.05</v>
      </c>
      <c r="D141" s="43">
        <v>40</v>
      </c>
      <c r="E141" s="43">
        <v>11</v>
      </c>
      <c r="F141" s="44">
        <v>21.726199999999999</v>
      </c>
      <c r="G141" s="48" t="s">
        <v>7</v>
      </c>
      <c r="H141" s="61">
        <f t="shared" si="4"/>
        <v>1.7261999999999986</v>
      </c>
      <c r="J141" s="41">
        <v>14</v>
      </c>
      <c r="K141" s="42">
        <v>0.05</v>
      </c>
      <c r="L141" s="43">
        <v>40</v>
      </c>
      <c r="M141" s="43">
        <v>11</v>
      </c>
      <c r="N141" s="44">
        <v>20.277799999999999</v>
      </c>
      <c r="O141" s="48" t="s">
        <v>7</v>
      </c>
      <c r="P141" s="61">
        <f t="shared" si="5"/>
        <v>-0.27779999999999916</v>
      </c>
    </row>
    <row r="142" spans="2:16" x14ac:dyDescent="0.35">
      <c r="B142" s="6">
        <v>15</v>
      </c>
      <c r="C142" s="31">
        <v>0.05</v>
      </c>
      <c r="D142" s="34">
        <v>40</v>
      </c>
      <c r="E142" s="34">
        <v>12</v>
      </c>
      <c r="F142" s="16">
        <v>21.038399999999999</v>
      </c>
      <c r="G142" s="46" t="s">
        <v>7</v>
      </c>
      <c r="H142" s="61">
        <f t="shared" si="4"/>
        <v>1.0383999999999993</v>
      </c>
      <c r="J142" s="6">
        <v>14</v>
      </c>
      <c r="K142" s="31">
        <v>0.05</v>
      </c>
      <c r="L142" s="34">
        <v>40</v>
      </c>
      <c r="M142" s="34">
        <v>12</v>
      </c>
      <c r="N142" s="16">
        <v>19.6358</v>
      </c>
      <c r="O142" s="46" t="s">
        <v>10</v>
      </c>
      <c r="P142" s="61">
        <f t="shared" si="5"/>
        <v>0.3642000000000003</v>
      </c>
    </row>
    <row r="143" spans="2:16" x14ac:dyDescent="0.35">
      <c r="B143" s="6">
        <v>15</v>
      </c>
      <c r="C143" s="31">
        <v>0.05</v>
      </c>
      <c r="D143" s="34">
        <v>40</v>
      </c>
      <c r="E143" s="34">
        <v>13</v>
      </c>
      <c r="F143" s="16">
        <v>20.606400000000001</v>
      </c>
      <c r="G143" s="46" t="s">
        <v>7</v>
      </c>
      <c r="H143" s="61">
        <f t="shared" si="4"/>
        <v>0.60640000000000072</v>
      </c>
      <c r="J143" s="6">
        <v>14</v>
      </c>
      <c r="K143" s="31">
        <v>0.05</v>
      </c>
      <c r="L143" s="34">
        <v>40</v>
      </c>
      <c r="M143" s="34">
        <v>13</v>
      </c>
      <c r="N143" s="16">
        <v>19.232700000000001</v>
      </c>
      <c r="O143" s="46" t="s">
        <v>10</v>
      </c>
      <c r="P143" s="61">
        <f t="shared" si="5"/>
        <v>0.76729999999999876</v>
      </c>
    </row>
    <row r="144" spans="2:16" x14ac:dyDescent="0.35">
      <c r="B144" s="6">
        <v>15</v>
      </c>
      <c r="C144" s="31">
        <v>0.05</v>
      </c>
      <c r="D144" s="34">
        <v>40</v>
      </c>
      <c r="E144" s="34">
        <v>14</v>
      </c>
      <c r="F144" s="16">
        <v>20.537099999999999</v>
      </c>
      <c r="G144" s="46" t="s">
        <v>7</v>
      </c>
      <c r="H144" s="61">
        <f t="shared" si="4"/>
        <v>0.5370999999999988</v>
      </c>
      <c r="J144" s="6">
        <v>14</v>
      </c>
      <c r="K144" s="31">
        <v>0.05</v>
      </c>
      <c r="L144" s="34">
        <v>40</v>
      </c>
      <c r="M144" s="34">
        <v>14</v>
      </c>
      <c r="N144" s="16">
        <v>19.167899999999999</v>
      </c>
      <c r="O144" s="46" t="s">
        <v>10</v>
      </c>
      <c r="P144" s="61">
        <f t="shared" si="5"/>
        <v>0.83210000000000051</v>
      </c>
    </row>
    <row r="145" spans="2:16" x14ac:dyDescent="0.35">
      <c r="B145" s="37">
        <v>15</v>
      </c>
      <c r="C145" s="38">
        <v>0.05</v>
      </c>
      <c r="D145" s="39">
        <v>40</v>
      </c>
      <c r="E145" s="39">
        <v>15</v>
      </c>
      <c r="F145" s="40">
        <v>20.923400000000001</v>
      </c>
      <c r="G145" s="47" t="s">
        <v>7</v>
      </c>
      <c r="H145" s="62">
        <f t="shared" si="4"/>
        <v>0.92340000000000089</v>
      </c>
      <c r="J145" s="37">
        <v>14</v>
      </c>
      <c r="K145" s="38">
        <v>0.05</v>
      </c>
      <c r="L145" s="39">
        <v>40</v>
      </c>
      <c r="M145" s="39">
        <v>15</v>
      </c>
      <c r="N145" s="40">
        <v>19.528500000000001</v>
      </c>
      <c r="O145" s="47" t="s">
        <v>10</v>
      </c>
      <c r="P145" s="62">
        <f t="shared" si="5"/>
        <v>0.47149999999999892</v>
      </c>
    </row>
    <row r="146" spans="2:16" x14ac:dyDescent="0.35">
      <c r="B146" s="41">
        <v>15</v>
      </c>
      <c r="C146" s="42">
        <v>0.05</v>
      </c>
      <c r="D146" s="43">
        <v>50</v>
      </c>
      <c r="E146" s="43">
        <v>11</v>
      </c>
      <c r="F146" s="44">
        <v>21.6721</v>
      </c>
      <c r="G146" s="48" t="s">
        <v>7</v>
      </c>
      <c r="H146" s="61">
        <f t="shared" si="4"/>
        <v>1.6721000000000004</v>
      </c>
      <c r="J146" s="41">
        <v>14</v>
      </c>
      <c r="K146" s="42">
        <v>0.05</v>
      </c>
      <c r="L146" s="43">
        <v>50</v>
      </c>
      <c r="M146" s="43">
        <v>11</v>
      </c>
      <c r="N146" s="44">
        <v>20.2273</v>
      </c>
      <c r="O146" s="48" t="s">
        <v>7</v>
      </c>
      <c r="P146" s="61">
        <f t="shared" si="5"/>
        <v>-0.22729999999999961</v>
      </c>
    </row>
    <row r="147" spans="2:16" x14ac:dyDescent="0.35">
      <c r="B147" s="6">
        <v>15</v>
      </c>
      <c r="C147" s="31">
        <v>0.05</v>
      </c>
      <c r="D147" s="34">
        <v>50</v>
      </c>
      <c r="E147" s="34">
        <v>12</v>
      </c>
      <c r="F147" s="16">
        <v>21.117899999999999</v>
      </c>
      <c r="G147" s="46" t="s">
        <v>7</v>
      </c>
      <c r="H147" s="61">
        <f t="shared" si="4"/>
        <v>1.1178999999999988</v>
      </c>
      <c r="J147" s="6">
        <v>14</v>
      </c>
      <c r="K147" s="31">
        <v>0.05</v>
      </c>
      <c r="L147" s="34">
        <v>50</v>
      </c>
      <c r="M147" s="34">
        <v>12</v>
      </c>
      <c r="N147" s="16">
        <v>19.71</v>
      </c>
      <c r="O147" s="46" t="s">
        <v>10</v>
      </c>
      <c r="P147" s="61">
        <f t="shared" si="5"/>
        <v>0.28999999999999915</v>
      </c>
    </row>
    <row r="148" spans="2:16" x14ac:dyDescent="0.35">
      <c r="B148" s="6">
        <v>15</v>
      </c>
      <c r="C148" s="31">
        <v>0.05</v>
      </c>
      <c r="D148" s="34">
        <v>50</v>
      </c>
      <c r="E148" s="34">
        <v>13</v>
      </c>
      <c r="F148" s="16">
        <v>20.818999999999999</v>
      </c>
      <c r="G148" s="46" t="s">
        <v>7</v>
      </c>
      <c r="H148" s="61">
        <f t="shared" si="4"/>
        <v>0.81899999999999906</v>
      </c>
      <c r="J148" s="6">
        <v>14</v>
      </c>
      <c r="K148" s="31">
        <v>0.05</v>
      </c>
      <c r="L148" s="34">
        <v>50</v>
      </c>
      <c r="M148" s="34">
        <v>13</v>
      </c>
      <c r="N148" s="16">
        <v>19.431100000000001</v>
      </c>
      <c r="O148" s="46" t="s">
        <v>10</v>
      </c>
      <c r="P148" s="61">
        <f t="shared" si="5"/>
        <v>0.5688999999999993</v>
      </c>
    </row>
    <row r="149" spans="2:16" x14ac:dyDescent="0.35">
      <c r="B149" s="6">
        <v>15</v>
      </c>
      <c r="C149" s="31">
        <v>0.05</v>
      </c>
      <c r="D149" s="34">
        <v>50</v>
      </c>
      <c r="E149" s="34">
        <v>14</v>
      </c>
      <c r="F149" s="16">
        <v>20.8216</v>
      </c>
      <c r="G149" s="46" t="s">
        <v>7</v>
      </c>
      <c r="H149" s="61">
        <f t="shared" si="4"/>
        <v>0.82160000000000011</v>
      </c>
      <c r="J149" s="6">
        <v>14</v>
      </c>
      <c r="K149" s="31">
        <v>0.05</v>
      </c>
      <c r="L149" s="34">
        <v>50</v>
      </c>
      <c r="M149" s="34">
        <v>14</v>
      </c>
      <c r="N149" s="16">
        <v>19.433499999999999</v>
      </c>
      <c r="O149" s="46" t="s">
        <v>10</v>
      </c>
      <c r="P149" s="61">
        <f t="shared" si="5"/>
        <v>0.56650000000000134</v>
      </c>
    </row>
    <row r="150" spans="2:16" x14ac:dyDescent="0.35">
      <c r="B150" s="37">
        <v>15</v>
      </c>
      <c r="C150" s="38">
        <v>0.05</v>
      </c>
      <c r="D150" s="39">
        <v>50</v>
      </c>
      <c r="E150" s="39">
        <v>15</v>
      </c>
      <c r="F150" s="40">
        <v>21.162600000000001</v>
      </c>
      <c r="G150" s="47" t="s">
        <v>7</v>
      </c>
      <c r="H150" s="62">
        <f t="shared" si="4"/>
        <v>1.1626000000000012</v>
      </c>
      <c r="J150" s="37">
        <v>14</v>
      </c>
      <c r="K150" s="38">
        <v>0.05</v>
      </c>
      <c r="L150" s="39">
        <v>50</v>
      </c>
      <c r="M150" s="39">
        <v>15</v>
      </c>
      <c r="N150" s="40">
        <v>19.751799999999999</v>
      </c>
      <c r="O150" s="47" t="s">
        <v>10</v>
      </c>
      <c r="P150" s="62">
        <f t="shared" si="5"/>
        <v>0.24820000000000064</v>
      </c>
    </row>
    <row r="151" spans="2:16" x14ac:dyDescent="0.35">
      <c r="B151" s="6">
        <v>15</v>
      </c>
      <c r="C151" s="31">
        <v>0.05</v>
      </c>
      <c r="D151" s="34">
        <v>60</v>
      </c>
      <c r="E151" s="34">
        <v>11</v>
      </c>
      <c r="F151" s="16">
        <v>21.760899999999999</v>
      </c>
      <c r="G151" s="46" t="s">
        <v>7</v>
      </c>
      <c r="H151" s="61">
        <f t="shared" si="4"/>
        <v>1.7608999999999995</v>
      </c>
      <c r="J151" s="41">
        <v>14</v>
      </c>
      <c r="K151" s="42">
        <v>0.05</v>
      </c>
      <c r="L151" s="43">
        <v>60</v>
      </c>
      <c r="M151" s="43">
        <v>11</v>
      </c>
      <c r="N151" s="44">
        <v>20.310199999999998</v>
      </c>
      <c r="O151" s="48" t="s">
        <v>7</v>
      </c>
      <c r="P151" s="61">
        <f t="shared" si="5"/>
        <v>-0.31019999999999825</v>
      </c>
    </row>
    <row r="152" spans="2:16" x14ac:dyDescent="0.35">
      <c r="B152" s="6">
        <v>15</v>
      </c>
      <c r="C152" s="31">
        <v>0.05</v>
      </c>
      <c r="D152" s="34">
        <v>60</v>
      </c>
      <c r="E152" s="34">
        <v>12</v>
      </c>
      <c r="F152" s="16">
        <v>21.131900000000002</v>
      </c>
      <c r="G152" s="46" t="s">
        <v>7</v>
      </c>
      <c r="H152" s="61">
        <f t="shared" si="4"/>
        <v>1.1319000000000017</v>
      </c>
      <c r="J152" s="6">
        <v>14</v>
      </c>
      <c r="K152" s="31">
        <v>0.05</v>
      </c>
      <c r="L152" s="34">
        <v>60</v>
      </c>
      <c r="M152" s="34">
        <v>12</v>
      </c>
      <c r="N152" s="16">
        <v>19.723099999999999</v>
      </c>
      <c r="O152" s="46" t="s">
        <v>10</v>
      </c>
      <c r="P152" s="61">
        <f>20-N152</f>
        <v>0.27690000000000126</v>
      </c>
    </row>
    <row r="153" spans="2:16" x14ac:dyDescent="0.35">
      <c r="B153" s="6">
        <v>15</v>
      </c>
      <c r="C153" s="31">
        <v>0.05</v>
      </c>
      <c r="D153" s="34">
        <v>60</v>
      </c>
      <c r="E153" s="34">
        <v>13</v>
      </c>
      <c r="F153" s="16">
        <v>20.996099999999998</v>
      </c>
      <c r="G153" s="46" t="s">
        <v>7</v>
      </c>
      <c r="H153" s="61">
        <f t="shared" si="4"/>
        <v>0.99609999999999843</v>
      </c>
      <c r="J153" s="6">
        <v>14</v>
      </c>
      <c r="K153" s="31">
        <v>0.05</v>
      </c>
      <c r="L153" s="34">
        <v>60</v>
      </c>
      <c r="M153" s="34">
        <v>13</v>
      </c>
      <c r="N153" s="16">
        <v>19.596399999999999</v>
      </c>
      <c r="O153" s="46" t="s">
        <v>10</v>
      </c>
      <c r="P153" s="61">
        <f t="shared" si="5"/>
        <v>0.40360000000000085</v>
      </c>
    </row>
    <row r="154" spans="2:16" x14ac:dyDescent="0.35">
      <c r="B154" s="6">
        <v>15</v>
      </c>
      <c r="C154" s="31">
        <v>0.05</v>
      </c>
      <c r="D154" s="34">
        <v>60</v>
      </c>
      <c r="E154" s="34">
        <v>14</v>
      </c>
      <c r="F154" s="16">
        <v>20.9453</v>
      </c>
      <c r="G154" s="46" t="s">
        <v>7</v>
      </c>
      <c r="H154" s="61">
        <f t="shared" si="4"/>
        <v>0.94529999999999959</v>
      </c>
      <c r="J154" s="6">
        <v>14</v>
      </c>
      <c r="K154" s="31">
        <v>0.05</v>
      </c>
      <c r="L154" s="34">
        <v>60</v>
      </c>
      <c r="M154" s="34">
        <v>14</v>
      </c>
      <c r="N154" s="16">
        <v>19.548999999999999</v>
      </c>
      <c r="O154" s="46" t="s">
        <v>10</v>
      </c>
      <c r="P154" s="61">
        <f t="shared" si="5"/>
        <v>0.45100000000000051</v>
      </c>
    </row>
    <row r="155" spans="2:16" ht="15" thickBot="1" x14ac:dyDescent="0.4">
      <c r="B155" s="7">
        <v>15</v>
      </c>
      <c r="C155" s="32">
        <v>0.05</v>
      </c>
      <c r="D155" s="35">
        <v>60</v>
      </c>
      <c r="E155" s="35">
        <v>15</v>
      </c>
      <c r="F155" s="17">
        <v>21.206399999999999</v>
      </c>
      <c r="G155" s="49" t="s">
        <v>7</v>
      </c>
      <c r="H155" s="63">
        <f t="shared" si="4"/>
        <v>1.2063999999999986</v>
      </c>
      <c r="J155" s="7">
        <v>14</v>
      </c>
      <c r="K155" s="32">
        <v>0.05</v>
      </c>
      <c r="L155" s="35">
        <v>60</v>
      </c>
      <c r="M155" s="35">
        <v>15</v>
      </c>
      <c r="N155" s="17">
        <v>19.7926</v>
      </c>
      <c r="O155" s="49" t="s">
        <v>10</v>
      </c>
      <c r="P155" s="63">
        <f t="shared" si="5"/>
        <v>0.20739999999999981</v>
      </c>
    </row>
    <row r="157" spans="2:16" ht="15" thickBot="1" x14ac:dyDescent="0.4">
      <c r="B157" s="79" t="s">
        <v>11</v>
      </c>
      <c r="C157" s="79"/>
      <c r="D157" s="5"/>
      <c r="E157" s="5"/>
      <c r="F157" s="5"/>
      <c r="G157" s="5"/>
      <c r="J157" s="79" t="s">
        <v>11</v>
      </c>
      <c r="K157" s="79"/>
      <c r="L157" s="5"/>
      <c r="M157" s="5"/>
      <c r="N157" s="5"/>
      <c r="O157" s="5"/>
    </row>
    <row r="158" spans="2:16" ht="23.5" thickBot="1" x14ac:dyDescent="0.4">
      <c r="B158" s="58" t="s">
        <v>6</v>
      </c>
      <c r="C158" s="11" t="s">
        <v>1</v>
      </c>
      <c r="D158" s="9" t="s">
        <v>4</v>
      </c>
      <c r="E158" s="11" t="s">
        <v>2</v>
      </c>
      <c r="F158" s="70" t="s">
        <v>12</v>
      </c>
      <c r="G158" s="71"/>
      <c r="H158" s="1"/>
      <c r="J158" s="58" t="s">
        <v>6</v>
      </c>
      <c r="K158" s="11" t="s">
        <v>1</v>
      </c>
      <c r="L158" s="59" t="s">
        <v>4</v>
      </c>
      <c r="M158" s="11" t="s">
        <v>2</v>
      </c>
      <c r="N158" s="70" t="s">
        <v>12</v>
      </c>
      <c r="O158" s="71"/>
      <c r="P158" s="1"/>
    </row>
    <row r="159" spans="2:16" x14ac:dyDescent="0.35">
      <c r="B159" s="56">
        <v>15</v>
      </c>
      <c r="C159" s="45">
        <v>1</v>
      </c>
      <c r="D159" s="26">
        <v>10</v>
      </c>
      <c r="E159" s="26">
        <f ca="1">INDIRECT("E"&amp;5+MATCH(MIN(H6:H10),H6:H10,0))</f>
        <v>12</v>
      </c>
      <c r="F159" s="77">
        <f ca="1">INDIRECT("F"&amp;5+MATCH(MIN(H6:H10),H6:H10,0))</f>
        <v>21.056100000000001</v>
      </c>
      <c r="G159" s="78"/>
      <c r="H159" s="1"/>
      <c r="J159" s="56">
        <v>14</v>
      </c>
      <c r="K159" s="45">
        <v>1</v>
      </c>
      <c r="L159" s="26">
        <v>10</v>
      </c>
      <c r="M159" s="26">
        <f ca="1">INDIRECT("M"&amp;5+MATCH(_xlfn.MINIFS(P6:P10,O6:O10,"X"),P6:P10,0))</f>
        <v>13</v>
      </c>
      <c r="N159" s="77">
        <f ca="1">INDIRECT("N"&amp;5+MATCH(_xlfn.MINIFS(P6:P10,O6:O10,"X"),P6:P10,0))</f>
        <v>19.912199999999999</v>
      </c>
      <c r="O159" s="78"/>
      <c r="P159" s="1"/>
    </row>
    <row r="160" spans="2:16" x14ac:dyDescent="0.35">
      <c r="B160" s="56">
        <v>15</v>
      </c>
      <c r="C160" s="46">
        <v>1</v>
      </c>
      <c r="D160" s="27">
        <v>20</v>
      </c>
      <c r="E160" s="27">
        <f ca="1">INDIRECT("E"&amp;10+MATCH(MIN(H11:H15),H11:H15,0))</f>
        <v>11</v>
      </c>
      <c r="F160" s="72">
        <f ca="1">INDIRECT("F"&amp;10+MATCH(MIN(H11:H15),H11:H15,0))</f>
        <v>21.145600000000002</v>
      </c>
      <c r="G160" s="73"/>
      <c r="H160" s="55"/>
      <c r="J160" s="56">
        <v>14</v>
      </c>
      <c r="K160" s="46">
        <v>1</v>
      </c>
      <c r="L160" s="27">
        <v>20</v>
      </c>
      <c r="M160" s="27">
        <f ca="1">INDIRECT("M"&amp;10+MATCH(_xlfn.MINIFS(P11:P15,O11:O15,"X"),P11:P15,0))</f>
        <v>13</v>
      </c>
      <c r="N160" s="72">
        <f ca="1">INDIRECT("N"&amp;10+MATCH(_xlfn.MINIFS(P11:P15,O11:O15,"X"),P11:P15,0))</f>
        <v>19.965900000000001</v>
      </c>
      <c r="O160" s="73"/>
      <c r="P160" s="1"/>
    </row>
    <row r="161" spans="2:16" x14ac:dyDescent="0.35">
      <c r="B161" s="56">
        <v>15</v>
      </c>
      <c r="C161" s="46">
        <v>1</v>
      </c>
      <c r="D161" s="27">
        <v>30</v>
      </c>
      <c r="E161" s="27">
        <f ca="1">INDIRECT("E"&amp;15+MATCH(MIN(H16:H20),H16:H20,0))</f>
        <v>12</v>
      </c>
      <c r="F161" s="72">
        <f ca="1">INDIRECT("F"&amp;15+MATCH(MIN(H16:H20),H16:H20,0))</f>
        <v>21.168600000000001</v>
      </c>
      <c r="G161" s="73"/>
      <c r="H161" s="1"/>
      <c r="J161" s="56">
        <v>14</v>
      </c>
      <c r="K161" s="46">
        <v>1</v>
      </c>
      <c r="L161" s="27">
        <v>30</v>
      </c>
      <c r="M161" s="27">
        <f ca="1">INDIRECT("M"&amp;15+MATCH(_xlfn.MINIFS(P16:P20,O16:O20,"X"),P16:P20,0))</f>
        <v>11</v>
      </c>
      <c r="N161" s="72">
        <f ca="1">INDIRECT("N"&amp;15+MATCH(_xlfn.MINIFS(P16:P20,O16:O20,"X"),P16:P20,0))</f>
        <v>19.770800000000001</v>
      </c>
      <c r="O161" s="73"/>
      <c r="P161" s="1"/>
    </row>
    <row r="162" spans="2:16" x14ac:dyDescent="0.35">
      <c r="B162" s="56">
        <v>15</v>
      </c>
      <c r="C162" s="46">
        <v>1</v>
      </c>
      <c r="D162" s="27">
        <v>40</v>
      </c>
      <c r="E162" s="27">
        <f ca="1">INDIRECT("E"&amp;20+MATCH(MIN(H21:H25),H21:H25,0))</f>
        <v>11</v>
      </c>
      <c r="F162" s="72">
        <f ca="1">INDIRECT("F"&amp;20+MATCH(MIN(H21:H25),H21:H25,0))</f>
        <v>21.2818</v>
      </c>
      <c r="G162" s="73"/>
      <c r="H162" s="1"/>
      <c r="J162" s="56">
        <v>14</v>
      </c>
      <c r="K162" s="46">
        <v>1</v>
      </c>
      <c r="L162" s="27">
        <v>40</v>
      </c>
      <c r="M162" s="27">
        <f ca="1">INDIRECT("M"&amp;20+MATCH(_xlfn.MINIFS(P21:P25,O21:O25,"X"),P21:P25,0))</f>
        <v>12</v>
      </c>
      <c r="N162" s="72">
        <f ca="1">INDIRECT("N"&amp;20+MATCH(_xlfn.MINIFS(P21:P25,O21:O25,"X"),P21:P25,0))</f>
        <v>19.886199999999999</v>
      </c>
      <c r="O162" s="73"/>
      <c r="P162" s="1"/>
    </row>
    <row r="163" spans="2:16" x14ac:dyDescent="0.35">
      <c r="B163" s="56">
        <v>15</v>
      </c>
      <c r="C163" s="46">
        <v>1</v>
      </c>
      <c r="D163" s="27">
        <v>50</v>
      </c>
      <c r="E163" s="27">
        <f ca="1">INDIRECT("E"&amp;25+MATCH(MIN(H26:H30),H26:H30,0))</f>
        <v>11</v>
      </c>
      <c r="F163" s="72">
        <f ca="1">INDIRECT("F"&amp;25+MATCH(MIN(H26:H30),H26:H30,0))</f>
        <v>21.390699999999999</v>
      </c>
      <c r="G163" s="73"/>
      <c r="H163" s="1"/>
      <c r="J163" s="56">
        <v>14</v>
      </c>
      <c r="K163" s="46">
        <v>1</v>
      </c>
      <c r="L163" s="27">
        <v>50</v>
      </c>
      <c r="M163" s="27">
        <f ca="1">INDIRECT("M"&amp;25+MATCH(_xlfn.MINIFS(P26:P30,O26:O30,"X"),P26:P30,0))</f>
        <v>11</v>
      </c>
      <c r="N163" s="72">
        <f ca="1">INDIRECT("N"&amp;25+MATCH(_xlfn.MINIFS(P26:P30,O26:O30,"X"),P26:P30,0))</f>
        <v>19.964600000000001</v>
      </c>
      <c r="O163" s="73"/>
      <c r="P163" s="1"/>
    </row>
    <row r="164" spans="2:16" x14ac:dyDescent="0.35">
      <c r="B164" s="56">
        <v>15</v>
      </c>
      <c r="C164" s="46">
        <v>1</v>
      </c>
      <c r="D164" s="27">
        <v>60</v>
      </c>
      <c r="E164" s="27">
        <f ca="1">INDIRECT("E"&amp;30+MATCH(MIN(H31:H35),H31:H35,0))</f>
        <v>12</v>
      </c>
      <c r="F164" s="72">
        <f ca="1">INDIRECT("F"&amp;30+MATCH(MIN(H31:H35),H31:H35,0))</f>
        <v>21.603999999999999</v>
      </c>
      <c r="G164" s="73"/>
      <c r="H164" s="1"/>
      <c r="J164" s="56">
        <v>14</v>
      </c>
      <c r="K164" s="46">
        <v>1</v>
      </c>
      <c r="L164" s="27">
        <v>60</v>
      </c>
      <c r="M164" s="27">
        <f ca="1">INDIRECT("M"&amp;30+MATCH(MAX(P31:P35),P31:P35,0))</f>
        <v>12</v>
      </c>
      <c r="N164" s="72">
        <f ca="1">INDIRECT("N"&amp;30+MATCH(MAX(P31:P35),P31:P35,0))</f>
        <v>20.163699999999999</v>
      </c>
      <c r="O164" s="73"/>
      <c r="P164" s="1"/>
    </row>
    <row r="165" spans="2:16" x14ac:dyDescent="0.35">
      <c r="B165" s="56">
        <v>15</v>
      </c>
      <c r="C165" s="46">
        <v>0.5</v>
      </c>
      <c r="D165" s="27">
        <v>10</v>
      </c>
      <c r="E165" s="27">
        <f ca="1">INDIRECT("E"&amp;35+MATCH(MIN(H36:H40),H36:H40,0))</f>
        <v>13</v>
      </c>
      <c r="F165" s="72">
        <f ca="1">INDIRECT("F"&amp;35+MATCH(MIN(H36:H40),H36:H40,0))</f>
        <v>20.712900000000001</v>
      </c>
      <c r="G165" s="73"/>
      <c r="H165" s="1"/>
      <c r="J165" s="56">
        <v>14</v>
      </c>
      <c r="K165" s="46">
        <v>0.5</v>
      </c>
      <c r="L165" s="27">
        <v>10</v>
      </c>
      <c r="M165" s="27">
        <f ca="1">INDIRECT("M"&amp;35+MATCH(_xlfn.MINIFS(P36:P40,O36:O40,"X"),P36:P40,0))</f>
        <v>12</v>
      </c>
      <c r="N165" s="72">
        <f ca="1">INDIRECT("N"&amp;35+MATCH(_xlfn.MINIFS(P36:P40,O36:O40,"X"),P36:P40,0))</f>
        <v>19.497900000000001</v>
      </c>
      <c r="O165" s="73"/>
      <c r="P165" s="1"/>
    </row>
    <row r="166" spans="2:16" x14ac:dyDescent="0.35">
      <c r="B166" s="56">
        <v>15</v>
      </c>
      <c r="C166" s="46">
        <v>0.5</v>
      </c>
      <c r="D166" s="27">
        <v>20</v>
      </c>
      <c r="E166" s="27">
        <f ca="1">INDIRECT("E"&amp;40+MATCH(MIN(H41:H45),H41:H45,0))</f>
        <v>13</v>
      </c>
      <c r="F166" s="72">
        <f ca="1">INDIRECT("F"&amp;40+MATCH(MIN(H41:H45),H41:H45,0))</f>
        <v>20.719200000000001</v>
      </c>
      <c r="G166" s="73"/>
      <c r="H166" s="1"/>
      <c r="J166" s="56">
        <v>14</v>
      </c>
      <c r="K166" s="46">
        <v>0.5</v>
      </c>
      <c r="L166" s="27">
        <v>20</v>
      </c>
      <c r="M166" s="27">
        <f ca="1">INDIRECT("M"&amp;40+MATCH(_xlfn.MINIFS(P41:P45,O41:O45,"X"),P41:P45,0))</f>
        <v>11</v>
      </c>
      <c r="N166" s="72">
        <f ca="1">INDIRECT("N"&amp;40+MATCH(_xlfn.MINIFS(P41:P45,O41:O45,"X"),P41:P45,0))</f>
        <v>19.6845</v>
      </c>
      <c r="O166" s="73"/>
      <c r="P166" s="1"/>
    </row>
    <row r="167" spans="2:16" x14ac:dyDescent="0.35">
      <c r="B167" s="56">
        <v>15</v>
      </c>
      <c r="C167" s="46">
        <v>0.5</v>
      </c>
      <c r="D167" s="27">
        <v>30</v>
      </c>
      <c r="E167" s="27">
        <f ca="1">INDIRECT("E"&amp;45+MATCH(MIN(H46:H50),H46:H50,0))</f>
        <v>13</v>
      </c>
      <c r="F167" s="72">
        <f ca="1">INDIRECT("F"&amp;45+MATCH(MIN(H46:H50),H46:H50,0))</f>
        <v>20.750800000000002</v>
      </c>
      <c r="G167" s="73"/>
      <c r="H167" s="1"/>
      <c r="J167" s="56">
        <v>14</v>
      </c>
      <c r="K167" s="46">
        <v>0.5</v>
      </c>
      <c r="L167" s="27">
        <v>30</v>
      </c>
      <c r="M167" s="27">
        <f ca="1">INDIRECT("M"&amp;45+MATCH(_xlfn.MINIFS(P46:P50,O46:O50,"X"),P46:P50,0))</f>
        <v>11</v>
      </c>
      <c r="N167" s="72">
        <f ca="1">INDIRECT("N"&amp;45+MATCH(_xlfn.MINIFS(P46:P50,O46:O50,"X"),P46:P50,0))</f>
        <v>19.786200000000001</v>
      </c>
      <c r="O167" s="73"/>
      <c r="P167" s="1"/>
    </row>
    <row r="168" spans="2:16" x14ac:dyDescent="0.35">
      <c r="B168" s="56">
        <v>15</v>
      </c>
      <c r="C168" s="46">
        <v>0.5</v>
      </c>
      <c r="D168" s="27">
        <v>40</v>
      </c>
      <c r="E168" s="27">
        <f ca="1">INDIRECT("E"&amp;50+MATCH(MIN(H51:H55),H51:H55,0))</f>
        <v>13</v>
      </c>
      <c r="F168" s="72">
        <f ca="1">INDIRECT("F"&amp;50+MATCH(MIN(H51:H55),H51:H55,0))</f>
        <v>20.946999999999999</v>
      </c>
      <c r="G168" s="73"/>
      <c r="H168" s="1"/>
      <c r="J168" s="56">
        <v>14</v>
      </c>
      <c r="K168" s="46">
        <v>0.5</v>
      </c>
      <c r="L168" s="27">
        <v>40</v>
      </c>
      <c r="M168" s="27">
        <f ca="1">INDIRECT("M"&amp;50+MATCH(_xlfn.MINIFS(P51:P55,O51:O55,"X"),P51:P55,0))</f>
        <v>11</v>
      </c>
      <c r="N168" s="72">
        <f ca="1">INDIRECT("N"&amp;50+MATCH(_xlfn.MINIFS(P51:P55,O51:O55,"X"),P51:P55,0))</f>
        <v>19.879799999999999</v>
      </c>
      <c r="O168" s="73"/>
      <c r="P168" s="1"/>
    </row>
    <row r="169" spans="2:16" x14ac:dyDescent="0.35">
      <c r="B169" s="56">
        <v>15</v>
      </c>
      <c r="C169" s="46">
        <v>0.5</v>
      </c>
      <c r="D169" s="27">
        <v>50</v>
      </c>
      <c r="E169" s="27">
        <f ca="1">INDIRECT("E"&amp;55+MATCH(MIN(H56:H60),H56:H60,0))</f>
        <v>13</v>
      </c>
      <c r="F169" s="72">
        <f ca="1">INDIRECT("F"&amp;55+MATCH(MIN(H56:H60),H56:H60,0))</f>
        <v>20.9863</v>
      </c>
      <c r="G169" s="73"/>
      <c r="H169" s="1"/>
      <c r="J169" s="56">
        <v>14</v>
      </c>
      <c r="K169" s="46">
        <v>0.5</v>
      </c>
      <c r="L169" s="27">
        <v>50</v>
      </c>
      <c r="M169" s="27">
        <f ca="1">INDIRECT("M"&amp;55+MATCH(_xlfn.MINIFS(P56:P60,O56:O60,"X"),P56:P60,0))</f>
        <v>14</v>
      </c>
      <c r="N169" s="72">
        <f ca="1">INDIRECT("N"&amp;55+MATCH(_xlfn.MINIFS(P56:P60,O56:O60,"X"),P56:P60,0))</f>
        <v>19.997299999999999</v>
      </c>
      <c r="O169" s="73"/>
      <c r="P169" s="1"/>
    </row>
    <row r="170" spans="2:16" x14ac:dyDescent="0.35">
      <c r="B170" s="56">
        <v>15</v>
      </c>
      <c r="C170" s="46">
        <v>0.5</v>
      </c>
      <c r="D170" s="27">
        <v>60</v>
      </c>
      <c r="E170" s="27">
        <f ca="1">INDIRECT("E"&amp;60+MATCH(MIN(H61:H65),H61:H65,0))</f>
        <v>12</v>
      </c>
      <c r="F170" s="72">
        <f ca="1">INDIRECT("F"&amp;60+MATCH(MIN(H61:H65),H61:H65,0))</f>
        <v>21.2651</v>
      </c>
      <c r="G170" s="73"/>
      <c r="H170" s="1"/>
      <c r="J170" s="56">
        <v>14</v>
      </c>
      <c r="K170" s="46">
        <v>0.5</v>
      </c>
      <c r="L170" s="27">
        <v>60</v>
      </c>
      <c r="M170" s="27">
        <f ca="1">INDIRECT("M"&amp;60+MATCH(_xlfn.MINIFS(P61:P65,O61:O65,"X"),P61:P65,0))</f>
        <v>13</v>
      </c>
      <c r="N170" s="72">
        <f ca="1">INDIRECT("N"&amp;60+MATCH(_xlfn.MINIFS(P61:P65,O61:O65,"X"),P61:P65,0))</f>
        <v>19.925599999999999</v>
      </c>
      <c r="O170" s="73"/>
      <c r="P170" s="1"/>
    </row>
    <row r="171" spans="2:16" x14ac:dyDescent="0.35">
      <c r="B171" s="56">
        <v>15</v>
      </c>
      <c r="C171" s="46">
        <v>0.3</v>
      </c>
      <c r="D171" s="27">
        <v>10</v>
      </c>
      <c r="E171" s="27">
        <f ca="1">INDIRECT("E"&amp;65+MATCH(MIN(H66:H70),H66:H70,0))</f>
        <v>14</v>
      </c>
      <c r="F171" s="72">
        <f ca="1">INDIRECT("F"&amp;65+MATCH(MIN(H66:H70),H66:H70,0))</f>
        <v>20.519400000000001</v>
      </c>
      <c r="G171" s="73"/>
      <c r="H171" s="1"/>
      <c r="J171" s="56">
        <v>14</v>
      </c>
      <c r="K171" s="46">
        <v>0.3</v>
      </c>
      <c r="L171" s="27">
        <v>10</v>
      </c>
      <c r="M171" s="27">
        <f ca="1">INDIRECT("M"&amp;65+MATCH(_xlfn.MINIFS(P66:P70,O66:O70,"X"),P66:P70,0))</f>
        <v>12</v>
      </c>
      <c r="N171" s="72">
        <f ca="1">INDIRECT("N"&amp;65+MATCH(_xlfn.MINIFS(P66:P70,O66:O70,"X"),P66:P70,0))</f>
        <v>19.824100000000001</v>
      </c>
      <c r="O171" s="73"/>
      <c r="P171" s="1"/>
    </row>
    <row r="172" spans="2:16" x14ac:dyDescent="0.35">
      <c r="B172" s="56">
        <v>15</v>
      </c>
      <c r="C172" s="46">
        <v>0.3</v>
      </c>
      <c r="D172" s="27">
        <v>20</v>
      </c>
      <c r="E172" s="27">
        <f ca="1">INDIRECT("E"&amp;70+MATCH(MIN(H71:H75),H71:H75,0))</f>
        <v>13</v>
      </c>
      <c r="F172" s="72">
        <f ca="1">INDIRECT("F"&amp;70+MATCH(MIN(H71:H75),H71:H75,0))</f>
        <v>20.5898</v>
      </c>
      <c r="G172" s="73"/>
      <c r="H172" s="1"/>
      <c r="J172" s="56">
        <v>14</v>
      </c>
      <c r="K172" s="46">
        <v>0.3</v>
      </c>
      <c r="L172" s="27">
        <v>20</v>
      </c>
      <c r="M172" s="27">
        <f ca="1">INDIRECT("M"&amp;70+MATCH(_xlfn.MINIFS(P71:P75,O71:O75,"X"),P71:P75,0))</f>
        <v>11</v>
      </c>
      <c r="N172" s="72">
        <f ca="1">INDIRECT("N"&amp;70+MATCH(_xlfn.MINIFS(P71:P75,O71:O75,"X"),P71:P75,0))</f>
        <v>19.952999999999999</v>
      </c>
      <c r="O172" s="73"/>
      <c r="P172" s="1"/>
    </row>
    <row r="173" spans="2:16" x14ac:dyDescent="0.35">
      <c r="B173" s="56">
        <v>15</v>
      </c>
      <c r="C173" s="46">
        <v>0.3</v>
      </c>
      <c r="D173" s="27">
        <v>30</v>
      </c>
      <c r="E173" s="27">
        <f ca="1">INDIRECT("E"&amp;75+MATCH(MIN(H76:H80),H76:H80,0))</f>
        <v>13</v>
      </c>
      <c r="F173" s="72">
        <f ca="1">INDIRECT("F"&amp;75+MATCH(MIN(H76:H80),H76:H80,0))</f>
        <v>20.619700000000002</v>
      </c>
      <c r="G173" s="73"/>
      <c r="H173" s="1"/>
      <c r="J173" s="56">
        <v>14</v>
      </c>
      <c r="K173" s="46">
        <v>0.3</v>
      </c>
      <c r="L173" s="27">
        <v>30</v>
      </c>
      <c r="M173" s="27">
        <f ca="1">INDIRECT("M"&amp;75+MATCH(_xlfn.MINIFS(P76:P80,O76:O80,"X"),P76:P80,0))</f>
        <v>15</v>
      </c>
      <c r="N173" s="72">
        <f ca="1">INDIRECT("N"&amp;75+MATCH(_xlfn.MINIFS(P76:P80,O76:O80,"X"),P76:P80,0))</f>
        <v>19.953499999999998</v>
      </c>
      <c r="O173" s="73"/>
      <c r="P173" s="1"/>
    </row>
    <row r="174" spans="2:16" x14ac:dyDescent="0.35">
      <c r="B174" s="56">
        <v>15</v>
      </c>
      <c r="C174" s="46">
        <v>0.3</v>
      </c>
      <c r="D174" s="27">
        <v>40</v>
      </c>
      <c r="E174" s="27">
        <f ca="1">INDIRECT("E"&amp;80+MATCH(MIN(H81:H85),H81:H85,0))</f>
        <v>13</v>
      </c>
      <c r="F174" s="72">
        <f ca="1">INDIRECT("F"&amp;80+MATCH(MIN(H81:H85),H81:H85,0))</f>
        <v>20.722000000000001</v>
      </c>
      <c r="G174" s="73"/>
      <c r="H174" s="1"/>
      <c r="J174" s="56">
        <v>14</v>
      </c>
      <c r="K174" s="46">
        <v>0.3</v>
      </c>
      <c r="L174" s="27">
        <v>40</v>
      </c>
      <c r="M174" s="27">
        <f ca="1">INDIRECT("M"&amp;80+MATCH(_xlfn.MINIFS(P81:P85,O81:O85,"X"),P81:P85,0))</f>
        <v>15</v>
      </c>
      <c r="N174" s="72">
        <f ca="1">INDIRECT("N"&amp;80+MATCH(_xlfn.MINIFS(P81:P85,O81:O85,"X"),P81:P85,0))</f>
        <v>19.672000000000001</v>
      </c>
      <c r="O174" s="73"/>
      <c r="P174" s="1"/>
    </row>
    <row r="175" spans="2:16" x14ac:dyDescent="0.35">
      <c r="B175" s="56">
        <v>15</v>
      </c>
      <c r="C175" s="46">
        <v>0.3</v>
      </c>
      <c r="D175" s="27">
        <v>50</v>
      </c>
      <c r="E175" s="27">
        <f ca="1">INDIRECT("E"&amp;85+MATCH(MIN(H86:H90),H86:H90,0))</f>
        <v>13</v>
      </c>
      <c r="F175" s="72">
        <f ca="1">INDIRECT("F"&amp;85+MATCH(MIN(H86:H90),H86:H90,0))</f>
        <v>20.926200000000001</v>
      </c>
      <c r="G175" s="73"/>
      <c r="H175" s="1"/>
      <c r="J175" s="56">
        <v>14</v>
      </c>
      <c r="K175" s="46">
        <v>0.3</v>
      </c>
      <c r="L175" s="27">
        <v>50</v>
      </c>
      <c r="M175" s="27">
        <f ca="1">INDIRECT("M"&amp;85+MATCH(_xlfn.MINIFS(P86:P90,O86:O90,"X"),P86:P90,0))</f>
        <v>11</v>
      </c>
      <c r="N175" s="72">
        <f ca="1">INDIRECT("N"&amp;85+MATCH(_xlfn.MINIFS(P86:P90,O86:O90,"X"),P86:P90,0))</f>
        <v>19.989799999999999</v>
      </c>
      <c r="O175" s="73"/>
      <c r="P175" s="1"/>
    </row>
    <row r="176" spans="2:16" x14ac:dyDescent="0.35">
      <c r="B176" s="56">
        <v>15</v>
      </c>
      <c r="C176" s="46">
        <v>0.3</v>
      </c>
      <c r="D176" s="27">
        <v>60</v>
      </c>
      <c r="E176" s="27">
        <f ca="1">INDIRECT("E"&amp;90+MATCH(MIN(H91:H95),H1:H95,0))</f>
        <v>15</v>
      </c>
      <c r="F176" s="72">
        <f ca="1">INDIRECT("F"&amp;90+MATCH(MIN(H91:H95),H91:H95,0))</f>
        <v>21.082999999999998</v>
      </c>
      <c r="G176" s="73"/>
      <c r="H176" s="1"/>
      <c r="J176" s="56">
        <v>14</v>
      </c>
      <c r="K176" s="46">
        <v>0.3</v>
      </c>
      <c r="L176" s="27">
        <v>60</v>
      </c>
      <c r="M176" s="27">
        <f ca="1">INDIRECT("M"&amp;90+MATCH(_xlfn.MINIFS(P91:P95,O91:O95,"X"),P1:P95,0))</f>
        <v>12</v>
      </c>
      <c r="N176" s="72">
        <f ca="1">INDIRECT("N"&amp;90+MATCH(_xlfn.MINIFS(P91:P95,O91:O95,"X"),P91:P95,0))</f>
        <v>19.8323</v>
      </c>
      <c r="O176" s="73"/>
      <c r="P176" s="1"/>
    </row>
    <row r="177" spans="2:16" x14ac:dyDescent="0.35">
      <c r="B177" s="56">
        <v>15</v>
      </c>
      <c r="C177" s="46">
        <v>0.1</v>
      </c>
      <c r="D177" s="27">
        <v>10</v>
      </c>
      <c r="E177" s="27">
        <f ca="1">INDIRECT("E"&amp;95+MATCH(MIN(H96:H100),H96:H100,0))</f>
        <v>15</v>
      </c>
      <c r="F177" s="72">
        <f ca="1">INDIRECT("F"&amp;95+MATCH(MIN(H96:H100),H96:H100,0))</f>
        <v>20.293600000000001</v>
      </c>
      <c r="G177" s="73"/>
      <c r="H177" s="1"/>
      <c r="J177" s="56">
        <v>14</v>
      </c>
      <c r="K177" s="46">
        <v>0.1</v>
      </c>
      <c r="L177" s="27">
        <v>10</v>
      </c>
      <c r="M177" s="27">
        <f ca="1">INDIRECT("M"&amp;95+MATCH(_xlfn.MINIFS(P96:P100,O96:O100,"X"),P96:P100,0))</f>
        <v>13</v>
      </c>
      <c r="N177" s="72">
        <f ca="1">INDIRECT("N"&amp;95+MATCH(_xlfn.MINIFS(P96:P100,O96:O100,"X"),P96:P100,0))</f>
        <v>19.325700000000001</v>
      </c>
      <c r="O177" s="73"/>
      <c r="P177" s="1"/>
    </row>
    <row r="178" spans="2:16" x14ac:dyDescent="0.35">
      <c r="B178" s="56">
        <v>15</v>
      </c>
      <c r="C178" s="46">
        <v>0.1</v>
      </c>
      <c r="D178" s="27">
        <v>20</v>
      </c>
      <c r="E178" s="27">
        <f ca="1">INDIRECT("E"&amp;100+MATCH(MIN(H101:H105),H101:H105,0))</f>
        <v>14</v>
      </c>
      <c r="F178" s="72">
        <f ca="1">INDIRECT("F"&amp;100+MATCH(MIN(H101:H105),H101:H105,0))</f>
        <v>20.397500000000001</v>
      </c>
      <c r="G178" s="73"/>
      <c r="H178" s="1"/>
      <c r="J178" s="56">
        <v>14</v>
      </c>
      <c r="K178" s="46">
        <v>0.1</v>
      </c>
      <c r="L178" s="27">
        <v>20</v>
      </c>
      <c r="M178" s="27">
        <f ca="1">INDIRECT("M"&amp;100+MATCH(_xlfn.MINIFS(P101:P105,O101:O105,"X"),P101:P105,0))</f>
        <v>12</v>
      </c>
      <c r="N178" s="72">
        <f ca="1">INDIRECT("N"&amp;100+MATCH(_xlfn.MINIFS(P101:P105,O101:O105,"X"),P101:P105,0))</f>
        <v>19.488499999999998</v>
      </c>
      <c r="O178" s="73"/>
      <c r="P178" s="1"/>
    </row>
    <row r="179" spans="2:16" x14ac:dyDescent="0.35">
      <c r="B179" s="56">
        <v>15</v>
      </c>
      <c r="C179" s="46">
        <v>0.1</v>
      </c>
      <c r="D179" s="27">
        <v>30</v>
      </c>
      <c r="E179" s="27">
        <f ca="1">INDIRECT("E"&amp;105+MATCH(MIN(H106:H110),H106:H110,0))</f>
        <v>14</v>
      </c>
      <c r="F179" s="72">
        <f ca="1">INDIRECT("F"&amp;105+MATCH(MIN(H106:H110),H106:H110,0))</f>
        <v>20.442399999999999</v>
      </c>
      <c r="G179" s="73"/>
      <c r="H179" s="1"/>
      <c r="J179" s="56">
        <v>14</v>
      </c>
      <c r="K179" s="46">
        <v>0.1</v>
      </c>
      <c r="L179" s="27">
        <v>30</v>
      </c>
      <c r="M179" s="27">
        <f ca="1">INDIRECT("M"&amp;105+MATCH(_xlfn.MINIFS(P106:P110,O106:O110,"X"),P106:P110,0))</f>
        <v>12</v>
      </c>
      <c r="N179" s="72">
        <f ca="1">INDIRECT("N"&amp;105+MATCH(_xlfn.MINIFS(P106:P110,O106:O110,"X"),P106:P110,0))</f>
        <v>19.435500000000001</v>
      </c>
      <c r="O179" s="73"/>
      <c r="P179" s="1"/>
    </row>
    <row r="180" spans="2:16" x14ac:dyDescent="0.35">
      <c r="B180" s="56">
        <v>15</v>
      </c>
      <c r="C180" s="46">
        <v>0.1</v>
      </c>
      <c r="D180" s="27">
        <v>40</v>
      </c>
      <c r="E180" s="27">
        <f ca="1">INDIRECT("E"&amp;110+MATCH(MIN(H111:H115),H111:H115,0))</f>
        <v>14</v>
      </c>
      <c r="F180" s="72">
        <f ca="1">INDIRECT("F"&amp;110+MATCH(MIN(H111:H115),H111:H115,0))</f>
        <v>20.5977</v>
      </c>
      <c r="G180" s="73"/>
      <c r="H180" s="1"/>
      <c r="J180" s="56">
        <v>14</v>
      </c>
      <c r="K180" s="46">
        <v>0.1</v>
      </c>
      <c r="L180" s="27">
        <v>40</v>
      </c>
      <c r="M180" s="27">
        <f ca="1">INDIRECT("M"&amp;110+MATCH(_xlfn.MINIFS(P111:P115,O111:O115,"X"),P111:P115,0))</f>
        <v>12</v>
      </c>
      <c r="N180" s="72">
        <f ca="1">INDIRECT("N"&amp;110+MATCH(_xlfn.MINIFS(P111:P115,O111:O115,"X"),P111:P115,0))</f>
        <v>19.620999999999999</v>
      </c>
      <c r="O180" s="73"/>
      <c r="P180" s="1"/>
    </row>
    <row r="181" spans="2:16" x14ac:dyDescent="0.35">
      <c r="B181" s="56">
        <v>15</v>
      </c>
      <c r="C181" s="46">
        <v>0.1</v>
      </c>
      <c r="D181" s="27">
        <v>50</v>
      </c>
      <c r="E181" s="27">
        <f ca="1">INDIRECT("E"&amp;115+MATCH(MIN(H116:H120),H116:H120,0))</f>
        <v>13</v>
      </c>
      <c r="F181" s="72">
        <f ca="1">INDIRECT("F"&amp;115+MATCH(MIN(H116:H120),H116:H120,0))</f>
        <v>20.776599999999998</v>
      </c>
      <c r="G181" s="73"/>
      <c r="H181" s="1"/>
      <c r="J181" s="56">
        <v>14</v>
      </c>
      <c r="K181" s="46">
        <v>0.1</v>
      </c>
      <c r="L181" s="27">
        <v>50</v>
      </c>
      <c r="M181" s="27">
        <f ca="1">INDIRECT("M"&amp;115+MATCH(_xlfn.MINIFS(P116:P120,O116:O120,"X"),P116:P120,0))</f>
        <v>11</v>
      </c>
      <c r="N181" s="72">
        <f ca="1">INDIRECT("N"&amp;115+MATCH(_xlfn.MINIFS(P116:P120,O116:O120,"X"),P116:P120,0))</f>
        <v>19.904299999999999</v>
      </c>
      <c r="O181" s="73"/>
      <c r="P181" s="1"/>
    </row>
    <row r="182" spans="2:16" x14ac:dyDescent="0.35">
      <c r="B182" s="56">
        <v>15</v>
      </c>
      <c r="C182" s="46">
        <v>0.1</v>
      </c>
      <c r="D182" s="27">
        <v>60</v>
      </c>
      <c r="E182" s="27">
        <f ca="1">INDIRECT("E"&amp;120+MATCH(MIN(H121:H125),H121:H125,0))</f>
        <v>14</v>
      </c>
      <c r="F182" s="72">
        <f ca="1">INDIRECT("F"&amp;120+MATCH(MIN(H121:H125),H121:H125,0))</f>
        <v>20.971699999999998</v>
      </c>
      <c r="G182" s="73"/>
      <c r="H182" s="1"/>
      <c r="J182" s="56">
        <v>14</v>
      </c>
      <c r="K182" s="46">
        <v>0.1</v>
      </c>
      <c r="L182" s="27">
        <v>60</v>
      </c>
      <c r="M182" s="27">
        <f ca="1">INDIRECT("M"&amp;120+MATCH(_xlfn.MINIFS(P121:P125,O121:O125,"X"),P121:P125,0))</f>
        <v>15</v>
      </c>
      <c r="N182" s="72">
        <f ca="1">INDIRECT("N"&amp;120+MATCH(_xlfn.MINIFS(P121:P125,O121:O125,"X"),P121:P125,0))</f>
        <v>19.8033</v>
      </c>
      <c r="O182" s="73"/>
      <c r="P182" s="1"/>
    </row>
    <row r="183" spans="2:16" x14ac:dyDescent="0.35">
      <c r="B183" s="56">
        <v>15</v>
      </c>
      <c r="C183" s="46">
        <v>0.05</v>
      </c>
      <c r="D183" s="27">
        <v>10</v>
      </c>
      <c r="E183" s="27">
        <f ca="1">INDIRECT("E"&amp;125+MATCH(MIN(H126:H130),H126:H130,0))</f>
        <v>15</v>
      </c>
      <c r="F183" s="72">
        <f ca="1">INDIRECT("F"&amp;125+MATCH(MIN(H126:H130),H126:H130,0))</f>
        <v>20.255800000000001</v>
      </c>
      <c r="G183" s="73"/>
      <c r="H183" s="1"/>
      <c r="J183" s="56">
        <v>14</v>
      </c>
      <c r="K183" s="46">
        <v>0.05</v>
      </c>
      <c r="L183" s="27">
        <v>10</v>
      </c>
      <c r="M183" s="27">
        <f ca="1">INDIRECT("M"&amp;125+MATCH(_xlfn.MINIFS(P126:P130,O126:O130,"X"),P126:P130,0))</f>
        <v>13</v>
      </c>
      <c r="N183" s="72">
        <f ca="1">INDIRECT("N"&amp;125+MATCH(_xlfn.MINIFS(P126:P130,O126:O130,"X"),P126:P130,0))</f>
        <v>19.2439</v>
      </c>
      <c r="O183" s="73"/>
      <c r="P183" s="1"/>
    </row>
    <row r="184" spans="2:16" x14ac:dyDescent="0.35">
      <c r="B184" s="56">
        <v>15</v>
      </c>
      <c r="C184" s="46">
        <v>0.05</v>
      </c>
      <c r="D184" s="27">
        <v>20</v>
      </c>
      <c r="E184" s="27">
        <f ca="1">INDIRECT("E"&amp;130+MATCH(MIN(H131:H135),H131:H135,0))</f>
        <v>14</v>
      </c>
      <c r="F184" s="72">
        <f ca="1">INDIRECT("F"&amp;130+MATCH(MIN(H131:H135),H131:H135,0))</f>
        <v>20.377099999999999</v>
      </c>
      <c r="G184" s="73"/>
      <c r="H184" s="1"/>
      <c r="J184" s="56">
        <v>14</v>
      </c>
      <c r="K184" s="46">
        <v>0.05</v>
      </c>
      <c r="L184" s="27">
        <v>20</v>
      </c>
      <c r="M184" s="27">
        <f ca="1">INDIRECT("M"&amp;130+MATCH(_xlfn.MINIFS(P131:P135,O131:O135,"X"),P131:P135,0))</f>
        <v>12</v>
      </c>
      <c r="N184" s="72">
        <f ca="1">INDIRECT("N"&amp;130+MATCH(_xlfn.MINIFS(P131:P135,O131:O135,"X"),P131:P135,0))</f>
        <v>19.527799999999999</v>
      </c>
      <c r="O184" s="73"/>
      <c r="P184" s="1"/>
    </row>
    <row r="185" spans="2:16" x14ac:dyDescent="0.35">
      <c r="B185" s="56">
        <v>15</v>
      </c>
      <c r="C185" s="46">
        <v>0.05</v>
      </c>
      <c r="D185" s="27">
        <v>30</v>
      </c>
      <c r="E185" s="27">
        <f ca="1">INDIRECT("E"&amp;135+MATCH(MIN(H136:H140),H136:H140,0))</f>
        <v>14</v>
      </c>
      <c r="F185" s="72">
        <f ca="1">INDIRECT("F"&amp;135+MATCH(MIN(H136:H140),H136:H140,0))</f>
        <v>20.420000000000002</v>
      </c>
      <c r="G185" s="73"/>
      <c r="H185" s="1"/>
      <c r="J185" s="56">
        <v>14</v>
      </c>
      <c r="K185" s="46">
        <v>0.05</v>
      </c>
      <c r="L185" s="27">
        <v>30</v>
      </c>
      <c r="M185" s="27">
        <f ca="1">INDIRECT("M"&amp;135+MATCH(_xlfn.MINIFS(P136:P140,O136:O140,"X"),P136:P140,0))</f>
        <v>12</v>
      </c>
      <c r="N185" s="72">
        <f ca="1">INDIRECT("N"&amp;135+MATCH(_xlfn.MINIFS(P136:P140,O136:O140,"X"),P136:P140,0))</f>
        <v>19.528400000000001</v>
      </c>
      <c r="O185" s="73"/>
      <c r="P185" s="1"/>
    </row>
    <row r="186" spans="2:16" x14ac:dyDescent="0.35">
      <c r="B186" s="56">
        <v>15</v>
      </c>
      <c r="C186" s="46">
        <v>0.05</v>
      </c>
      <c r="D186" s="27">
        <v>40</v>
      </c>
      <c r="E186" s="27">
        <f ca="1">INDIRECT("E"&amp;140+MATCH(MIN(H141:H145),H141:H145,0))</f>
        <v>14</v>
      </c>
      <c r="F186" s="72">
        <f ca="1">INDIRECT("F"&amp;140+MATCH(MIN(H141:H145),H141:H145,0))</f>
        <v>20.537099999999999</v>
      </c>
      <c r="G186" s="73"/>
      <c r="H186" s="1"/>
      <c r="J186" s="56">
        <v>14</v>
      </c>
      <c r="K186" s="46">
        <v>0.05</v>
      </c>
      <c r="L186" s="27">
        <v>40</v>
      </c>
      <c r="M186" s="27">
        <f ca="1">INDIRECT("M"&amp;140+MATCH(_xlfn.MINIFS(P141:P145,O141:O145,"X"),P141:P145,0))</f>
        <v>12</v>
      </c>
      <c r="N186" s="72">
        <f ca="1">INDIRECT("N"&amp;140+MATCH(_xlfn.MINIFS(P141:P145,O141:O145,"X"),P141:P145,0))</f>
        <v>19.6358</v>
      </c>
      <c r="O186" s="73"/>
      <c r="P186" s="1"/>
    </row>
    <row r="187" spans="2:16" x14ac:dyDescent="0.35">
      <c r="B187" s="56">
        <v>15</v>
      </c>
      <c r="C187" s="46">
        <v>0.05</v>
      </c>
      <c r="D187" s="27">
        <v>50</v>
      </c>
      <c r="E187" s="27">
        <f ca="1">INDIRECT("E"&amp;145+MATCH(MIN(H146:H150),H146:H150,0))</f>
        <v>13</v>
      </c>
      <c r="F187" s="72">
        <f ca="1">INDIRECT("F"&amp;145+MATCH(MIN(H146:H150),H146:H150,0))</f>
        <v>20.818999999999999</v>
      </c>
      <c r="G187" s="73"/>
      <c r="H187" s="1"/>
      <c r="J187" s="56">
        <v>14</v>
      </c>
      <c r="K187" s="46">
        <v>0.05</v>
      </c>
      <c r="L187" s="27">
        <v>50</v>
      </c>
      <c r="M187" s="27">
        <f ca="1">INDIRECT("M"&amp;145+MATCH(_xlfn.MINIFS(P146:P150,O146:O150,"X"),P146:P150,0))</f>
        <v>15</v>
      </c>
      <c r="N187" s="72">
        <f ca="1">INDIRECT("N"&amp;145+MATCH(_xlfn.MINIFS(P146:P150,O146:O150,"X"),P146:P150,0))</f>
        <v>19.751799999999999</v>
      </c>
      <c r="O187" s="73"/>
      <c r="P187" s="1"/>
    </row>
    <row r="188" spans="2:16" ht="15" thickBot="1" x14ac:dyDescent="0.4">
      <c r="B188" s="57">
        <v>15</v>
      </c>
      <c r="C188" s="49">
        <v>0.05</v>
      </c>
      <c r="D188" s="28">
        <v>60</v>
      </c>
      <c r="E188" s="28">
        <f ca="1">INDIRECT("E"&amp;150+MATCH(MIN(H151:H155),H151:H155,0))</f>
        <v>14</v>
      </c>
      <c r="F188" s="75">
        <f ca="1">INDIRECT("F"&amp;150+MATCH(MIN(H151:H155),H151:H155,0))</f>
        <v>20.9453</v>
      </c>
      <c r="G188" s="76"/>
      <c r="H188" s="1"/>
      <c r="J188" s="57">
        <v>14</v>
      </c>
      <c r="K188" s="49">
        <v>0.05</v>
      </c>
      <c r="L188" s="28">
        <v>60</v>
      </c>
      <c r="M188" s="28">
        <f ca="1">INDIRECT("M"&amp;150+MATCH(_xlfn.MINIFS(P151:P155,O151:O155,"X"),P151:P155,0))</f>
        <v>15</v>
      </c>
      <c r="N188" s="75">
        <f ca="1">INDIRECT("N"&amp;150+MATCH(_xlfn.MINIFS(P151:P155,O151:O155,"X"),P151:P155,0))</f>
        <v>19.7926</v>
      </c>
      <c r="O188" s="76"/>
      <c r="P188" s="1"/>
    </row>
    <row r="190" spans="2:16" x14ac:dyDescent="0.35">
      <c r="E190" t="s">
        <v>16</v>
      </c>
      <c r="F190" s="67">
        <f ca="1">MIN(F159:G188)</f>
        <v>20.255800000000001</v>
      </c>
      <c r="M190" t="s">
        <v>15</v>
      </c>
      <c r="N190" s="67">
        <f ca="1">MAX(N159:O163,N165:O188)</f>
        <v>19.997299999999999</v>
      </c>
    </row>
    <row r="1048576" spans="6:7" x14ac:dyDescent="0.35">
      <c r="F1048576" s="74"/>
      <c r="G1048576" s="74"/>
    </row>
  </sheetData>
  <mergeCells count="68">
    <mergeCell ref="F161:G161"/>
    <mergeCell ref="F162:G162"/>
    <mergeCell ref="F163:G163"/>
    <mergeCell ref="F164:G164"/>
    <mergeCell ref="N158:O158"/>
    <mergeCell ref="N159:O159"/>
    <mergeCell ref="N160:O160"/>
    <mergeCell ref="N161:O161"/>
    <mergeCell ref="N162:O162"/>
    <mergeCell ref="N163:O163"/>
    <mergeCell ref="N164:O164"/>
    <mergeCell ref="K4:N4"/>
    <mergeCell ref="F158:G158"/>
    <mergeCell ref="B157:C157"/>
    <mergeCell ref="C4:F4"/>
    <mergeCell ref="F160:G160"/>
    <mergeCell ref="J157:K157"/>
    <mergeCell ref="B2:D2"/>
    <mergeCell ref="F184:G184"/>
    <mergeCell ref="F185:G185"/>
    <mergeCell ref="F186:G186"/>
    <mergeCell ref="F187:G187"/>
    <mergeCell ref="F159:G15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N165:O165"/>
    <mergeCell ref="N166:O166"/>
    <mergeCell ref="N167:O167"/>
    <mergeCell ref="N168:O168"/>
    <mergeCell ref="F1048576:G1048576"/>
    <mergeCell ref="F188:G188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5:G165"/>
    <mergeCell ref="N188:O188"/>
    <mergeCell ref="N184:O184"/>
    <mergeCell ref="N185:O185"/>
    <mergeCell ref="N186:O186"/>
    <mergeCell ref="N187:O187"/>
    <mergeCell ref="N174:O174"/>
    <mergeCell ref="N175:O175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69:O169"/>
    <mergeCell ref="N170:O170"/>
    <mergeCell ref="N171:O171"/>
    <mergeCell ref="N172:O172"/>
    <mergeCell ref="N173:O1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NUR ALPHA (LINEAR)</vt:lpstr>
      <vt:lpstr>ALPHA, THETA, R (LINEAR)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Richter</dc:creator>
  <cp:lastModifiedBy>Sebastian Richter</cp:lastModifiedBy>
  <dcterms:created xsi:type="dcterms:W3CDTF">2015-06-05T18:19:34Z</dcterms:created>
  <dcterms:modified xsi:type="dcterms:W3CDTF">2022-08-09T12:56:25Z</dcterms:modified>
</cp:coreProperties>
</file>