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3bdeb7d7c976ee32/Bureaublad/Afstuderen/Kosten/"/>
    </mc:Choice>
  </mc:AlternateContent>
  <xr:revisionPtr revIDLastSave="1349" documentId="8_{8E3B368D-9DF8-4949-AAC4-51E859091AE8}" xr6:coauthVersionLast="47" xr6:coauthVersionMax="47" xr10:uidLastSave="{BF51CF5A-49F9-4B48-9F95-F111AC443EC1}"/>
  <bookViews>
    <workbookView xWindow="-108" yWindow="-108" windowWidth="23256" windowHeight="13896" activeTab="4" xr2:uid="{730E195D-17B2-4A74-B256-98A7ACEA45FC}"/>
  </bookViews>
  <sheets>
    <sheet name="Overview" sheetId="3" r:id="rId1"/>
    <sheet name="Info" sheetId="2" r:id="rId2"/>
    <sheet name="Tools" sheetId="8" r:id="rId3"/>
    <sheet name="Printing" sheetId="4" r:id="rId4"/>
    <sheet name="Electronics" sheetId="6" r:id="rId5"/>
    <sheet name="Cables" sheetId="7" r:id="rId6"/>
    <sheet name="Extras" sheetId="5" r:id="rId7"/>
    <sheet name="Example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" i="3" l="1"/>
  <c r="N25" i="3" s="1"/>
  <c r="M26" i="3"/>
  <c r="N26" i="3" s="1"/>
  <c r="M27" i="3"/>
  <c r="N27" i="3" s="1"/>
  <c r="M28" i="3"/>
  <c r="N28" i="3" s="1"/>
  <c r="M29" i="3"/>
  <c r="N29" i="3" s="1"/>
  <c r="M30" i="3"/>
  <c r="N30" i="3" s="1"/>
  <c r="M24" i="3"/>
  <c r="N24" i="3" s="1"/>
  <c r="D7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E29" i="3"/>
  <c r="N12" i="3" l="1" a="1"/>
  <c r="N12" i="3" s="1"/>
  <c r="K31" i="4"/>
  <c r="E31" i="4"/>
  <c r="G31" i="4"/>
  <c r="H31" i="4"/>
  <c r="I31" i="4"/>
  <c r="D31" i="4"/>
  <c r="E30" i="4"/>
  <c r="F30" i="4"/>
  <c r="G30" i="4"/>
  <c r="H30" i="4"/>
  <c r="I30" i="4"/>
  <c r="D30" i="4"/>
  <c r="H35" i="4"/>
  <c r="H36" i="4"/>
  <c r="L4" i="4"/>
  <c r="L5" i="4"/>
  <c r="L6" i="4"/>
  <c r="L7" i="4"/>
  <c r="L8" i="4"/>
  <c r="L9" i="4"/>
  <c r="L10" i="4"/>
  <c r="L31" i="4" s="1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H29" i="4"/>
  <c r="I29" i="4"/>
  <c r="G29" i="4"/>
  <c r="E29" i="4"/>
  <c r="D29" i="4"/>
  <c r="F15" i="4"/>
  <c r="M15" i="4" s="1"/>
  <c r="F4" i="4"/>
  <c r="M4" i="4" s="1"/>
  <c r="F5" i="4"/>
  <c r="M5" i="4" s="1"/>
  <c r="F6" i="4"/>
  <c r="J6" i="4" s="1"/>
  <c r="F7" i="4"/>
  <c r="M7" i="4" s="1"/>
  <c r="F8" i="4"/>
  <c r="J8" i="4" s="1"/>
  <c r="F9" i="4"/>
  <c r="M9" i="4" s="1"/>
  <c r="F10" i="4"/>
  <c r="M10" i="4" s="1"/>
  <c r="F11" i="4"/>
  <c r="J11" i="4" s="1"/>
  <c r="F12" i="4"/>
  <c r="J12" i="4" s="1"/>
  <c r="F13" i="4"/>
  <c r="J13" i="4" s="1"/>
  <c r="F14" i="4"/>
  <c r="M14" i="4" s="1"/>
  <c r="F16" i="4"/>
  <c r="J16" i="4" s="1"/>
  <c r="F17" i="4"/>
  <c r="M17" i="4" s="1"/>
  <c r="F18" i="4"/>
  <c r="M18" i="4" s="1"/>
  <c r="F19" i="4"/>
  <c r="M19" i="4" s="1"/>
  <c r="F20" i="4"/>
  <c r="M20" i="4" s="1"/>
  <c r="F21" i="4"/>
  <c r="M21" i="4" s="1"/>
  <c r="F22" i="4"/>
  <c r="M22" i="4" s="1"/>
  <c r="F23" i="4"/>
  <c r="M23" i="4" s="1"/>
  <c r="F24" i="4"/>
  <c r="M24" i="4" s="1"/>
  <c r="F25" i="4"/>
  <c r="J25" i="4" s="1"/>
  <c r="F26" i="4"/>
  <c r="J26" i="4" s="1"/>
  <c r="F27" i="4"/>
  <c r="J27" i="4" s="1"/>
  <c r="F28" i="4"/>
  <c r="J28" i="4" s="1"/>
  <c r="L30" i="4" l="1"/>
  <c r="F31" i="4"/>
  <c r="J31" i="4" s="1"/>
  <c r="J30" i="4"/>
  <c r="L29" i="4"/>
  <c r="M11" i="4"/>
  <c r="F29" i="4"/>
  <c r="J29" i="4" s="1"/>
  <c r="M16" i="4"/>
  <c r="J15" i="4"/>
  <c r="M13" i="4"/>
  <c r="M12" i="4"/>
  <c r="M28" i="4"/>
  <c r="M27" i="4"/>
  <c r="M26" i="4"/>
  <c r="M8" i="4"/>
  <c r="M25" i="4"/>
  <c r="M6" i="4"/>
  <c r="J10" i="4"/>
  <c r="J9" i="4"/>
  <c r="J4" i="4"/>
  <c r="J17" i="4"/>
  <c r="J14" i="4"/>
  <c r="J24" i="4"/>
  <c r="J23" i="4"/>
  <c r="J22" i="4"/>
  <c r="J21" i="4"/>
  <c r="J20" i="4"/>
  <c r="J19" i="4"/>
  <c r="J7" i="4"/>
  <c r="J5" i="4"/>
  <c r="J18" i="4"/>
  <c r="E22" i="3"/>
  <c r="E21" i="3"/>
  <c r="F43" i="3"/>
  <c r="G43" i="3" s="1"/>
  <c r="O11" i="3"/>
  <c r="N11" i="3" s="1"/>
  <c r="H9" i="5"/>
  <c r="I9" i="5" s="1"/>
  <c r="J9" i="5"/>
  <c r="F46" i="3"/>
  <c r="G46" i="3" s="1"/>
  <c r="F47" i="3"/>
  <c r="G47" i="3" s="1"/>
  <c r="E46" i="3"/>
  <c r="E47" i="3"/>
  <c r="E48" i="3"/>
  <c r="E45" i="3"/>
  <c r="F39" i="3"/>
  <c r="G39" i="3" s="1"/>
  <c r="F40" i="3"/>
  <c r="G40" i="3" s="1"/>
  <c r="F41" i="3"/>
  <c r="G41" i="3" s="1"/>
  <c r="F42" i="3"/>
  <c r="G42" i="3" s="1"/>
  <c r="F38" i="3"/>
  <c r="G38" i="3" s="1"/>
  <c r="F36" i="3"/>
  <c r="G36" i="3" s="1"/>
  <c r="F35" i="3"/>
  <c r="G35" i="3" s="1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F19" i="3"/>
  <c r="G19" i="3" s="1"/>
  <c r="F20" i="3"/>
  <c r="G20" i="3" s="1"/>
  <c r="F21" i="3"/>
  <c r="G21" i="3" s="1"/>
  <c r="F22" i="3"/>
  <c r="G22" i="3" s="1"/>
  <c r="F23" i="3"/>
  <c r="G23" i="3" s="1"/>
  <c r="F24" i="3"/>
  <c r="G24" i="3" s="1"/>
  <c r="F25" i="3"/>
  <c r="G25" i="3" s="1"/>
  <c r="F26" i="3"/>
  <c r="G26" i="3" s="1"/>
  <c r="F27" i="3"/>
  <c r="G27" i="3" s="1"/>
  <c r="F28" i="3"/>
  <c r="G28" i="3" s="1"/>
  <c r="F29" i="3"/>
  <c r="G29" i="3" s="1"/>
  <c r="F30" i="3"/>
  <c r="G30" i="3" s="1"/>
  <c r="F31" i="3"/>
  <c r="G31" i="3" s="1"/>
  <c r="F32" i="3"/>
  <c r="G32" i="3" s="1"/>
  <c r="F33" i="3"/>
  <c r="G33" i="3" s="1"/>
  <c r="E19" i="3"/>
  <c r="E20" i="3"/>
  <c r="E23" i="3"/>
  <c r="E24" i="3"/>
  <c r="E25" i="3"/>
  <c r="E26" i="3"/>
  <c r="E27" i="3"/>
  <c r="E28" i="3"/>
  <c r="E30" i="3"/>
  <c r="E31" i="3"/>
  <c r="E32" i="3"/>
  <c r="E33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H4" i="3"/>
  <c r="H6" i="3"/>
  <c r="H7" i="3"/>
  <c r="G4" i="3"/>
  <c r="G5" i="3"/>
  <c r="G6" i="3"/>
  <c r="G7" i="3"/>
  <c r="G8" i="3"/>
  <c r="G9" i="3"/>
  <c r="G10" i="3"/>
  <c r="G11" i="3"/>
  <c r="G12" i="3"/>
  <c r="G13" i="3"/>
  <c r="G14" i="3"/>
  <c r="E4" i="3"/>
  <c r="E5" i="3"/>
  <c r="E6" i="3"/>
  <c r="E7" i="3"/>
  <c r="E8" i="3"/>
  <c r="E9" i="3"/>
  <c r="E10" i="3"/>
  <c r="E11" i="3"/>
  <c r="E12" i="3"/>
  <c r="E13" i="3"/>
  <c r="E14" i="3"/>
  <c r="D14" i="3"/>
  <c r="D4" i="3"/>
  <c r="D5" i="3"/>
  <c r="D6" i="3"/>
  <c r="D7" i="3"/>
  <c r="D8" i="3"/>
  <c r="D9" i="3"/>
  <c r="D10" i="3"/>
  <c r="D11" i="3"/>
  <c r="D12" i="3"/>
  <c r="D13" i="3"/>
  <c r="J4" i="6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4" i="5"/>
  <c r="J5" i="5"/>
  <c r="J6" i="5"/>
  <c r="J7" i="5"/>
  <c r="J8" i="5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H16" i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H4" i="5"/>
  <c r="I4" i="5" s="1"/>
  <c r="H5" i="5"/>
  <c r="I5" i="5" s="1"/>
  <c r="H6" i="5"/>
  <c r="I6" i="5" s="1"/>
  <c r="H7" i="5"/>
  <c r="I7" i="5" s="1"/>
  <c r="H8" i="5"/>
  <c r="I8" i="5" s="1"/>
  <c r="H4" i="8"/>
  <c r="I4" i="8" s="1"/>
  <c r="H5" i="8"/>
  <c r="I5" i="8" s="1"/>
  <c r="H6" i="8"/>
  <c r="I6" i="8" s="1"/>
  <c r="H7" i="8"/>
  <c r="I7" i="8" s="1"/>
  <c r="H8" i="8"/>
  <c r="I8" i="8" s="1"/>
  <c r="H9" i="8"/>
  <c r="I9" i="8" s="1"/>
  <c r="H10" i="8"/>
  <c r="I10" i="8" s="1"/>
  <c r="H11" i="8"/>
  <c r="I11" i="8" s="1"/>
  <c r="H12" i="8"/>
  <c r="I12" i="8" s="1"/>
  <c r="H13" i="8"/>
  <c r="I13" i="8" s="1"/>
  <c r="H14" i="8"/>
  <c r="I14" i="8" s="1"/>
  <c r="H15" i="8"/>
  <c r="I15" i="8" s="1"/>
  <c r="H16" i="8"/>
  <c r="I16" i="8" s="1"/>
  <c r="H17" i="8"/>
  <c r="I17" i="8" s="1"/>
  <c r="H18" i="8"/>
  <c r="I18" i="8" s="1"/>
  <c r="H19" i="8"/>
  <c r="I19" i="8" s="1"/>
  <c r="H20" i="8"/>
  <c r="I20" i="8" s="1"/>
  <c r="H21" i="8"/>
  <c r="I21" i="8" s="1"/>
  <c r="H22" i="8"/>
  <c r="I22" i="8" s="1"/>
  <c r="H23" i="8"/>
  <c r="I23" i="8" s="1"/>
  <c r="H24" i="8"/>
  <c r="I24" i="8" s="1"/>
  <c r="I15" i="1"/>
  <c r="I16" i="1"/>
  <c r="I28" i="1"/>
  <c r="J5" i="7"/>
  <c r="H5" i="7"/>
  <c r="I5" i="7" s="1"/>
  <c r="J4" i="7"/>
  <c r="H4" i="7"/>
  <c r="I4" i="7" s="1"/>
  <c r="H4" i="6"/>
  <c r="I4" i="6" s="1"/>
  <c r="H5" i="6"/>
  <c r="I5" i="6" s="1"/>
  <c r="H6" i="6"/>
  <c r="I6" i="6" s="1"/>
  <c r="H7" i="6"/>
  <c r="I7" i="6" s="1"/>
  <c r="H8" i="6"/>
  <c r="I8" i="6" s="1"/>
  <c r="H9" i="6"/>
  <c r="I9" i="6" s="1"/>
  <c r="H10" i="6"/>
  <c r="I10" i="6" s="1"/>
  <c r="H11" i="6"/>
  <c r="I11" i="6" s="1"/>
  <c r="H12" i="6"/>
  <c r="I12" i="6" s="1"/>
  <c r="H13" i="6"/>
  <c r="I13" i="6" s="1"/>
  <c r="H14" i="6"/>
  <c r="I14" i="6" s="1"/>
  <c r="H15" i="6"/>
  <c r="I15" i="6" s="1"/>
  <c r="H16" i="6"/>
  <c r="I16" i="6" s="1"/>
  <c r="H17" i="6"/>
  <c r="I17" i="6" s="1"/>
  <c r="H18" i="6"/>
  <c r="I18" i="6" s="1"/>
  <c r="M30" i="4" l="1"/>
  <c r="M6" i="3"/>
  <c r="H37" i="4"/>
  <c r="F48" i="3" s="1"/>
  <c r="G48" i="3" s="1"/>
  <c r="M31" i="4"/>
  <c r="H34" i="4"/>
  <c r="F45" i="3" s="1"/>
  <c r="G45" i="3" s="1"/>
  <c r="O8" i="3" s="1"/>
  <c r="N8" i="3" s="1"/>
  <c r="M29" i="4"/>
  <c r="O4" i="3"/>
  <c r="N4" i="3" s="1"/>
  <c r="M5" i="3"/>
  <c r="M8" i="3"/>
  <c r="M7" i="3"/>
  <c r="O6" i="3"/>
  <c r="N6" i="3" s="1"/>
  <c r="O7" i="3"/>
  <c r="N7" i="3" s="1"/>
  <c r="O5" i="3"/>
  <c r="M10" i="3" l="1"/>
  <c r="M14" i="3" s="1"/>
  <c r="O10" i="3"/>
  <c r="O14" i="3" s="1"/>
  <c r="N5" i="3"/>
  <c r="N10" i="3" s="1"/>
  <c r="N14" i="3" s="1"/>
  <c r="N1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<sst xmlns="http://schemas.openxmlformats.org/spreadsheetml/2006/main" count="751" uniqueCount="231">
  <si>
    <t>Part Nr</t>
  </si>
  <si>
    <t>Name</t>
  </si>
  <si>
    <t>Part Name</t>
  </si>
  <si>
    <t>Retailer</t>
  </si>
  <si>
    <t>Link</t>
  </si>
  <si>
    <t>Retailers</t>
  </si>
  <si>
    <t>Amazon</t>
  </si>
  <si>
    <t>Bol</t>
  </si>
  <si>
    <t>KiwiElectronics</t>
  </si>
  <si>
    <t>BambuLab</t>
  </si>
  <si>
    <t>Print time (min)</t>
  </si>
  <si>
    <t>Total Price (Euros)</t>
  </si>
  <si>
    <t>Part Price (Euros)</t>
  </si>
  <si>
    <t>Material</t>
  </si>
  <si>
    <t>Color</t>
  </si>
  <si>
    <t>Power Consumption (W)</t>
  </si>
  <si>
    <t>Max Power Rating (W)</t>
  </si>
  <si>
    <t>Rated Voltage (V)</t>
  </si>
  <si>
    <t>Arduino Wifi Rev 2.0</t>
  </si>
  <si>
    <t>USB-A to USB-B Cable - 0.5 meter</t>
  </si>
  <si>
    <t>Subsystems</t>
  </si>
  <si>
    <t>Order Quantity</t>
  </si>
  <si>
    <t>Miuzei Servo Motor MF90</t>
  </si>
  <si>
    <t>Order Price (Euros)</t>
  </si>
  <si>
    <t>https://www.amazon.nl/-/en/Miuzei-Degree-Arduino-Building-Airplane/dp/B0D7ZW6LSW/ref=sr_1_1?crid=2N57DUX6R0AHI&amp;dib=eyJ2IjoiMSJ9.h3ZwD21amosGoaWQ_NC1EQfJMHC-RwfjVwdsn5_5LqiNdQqiHE5rlgvsahqeUoDEnawGrLsTTk-LnbpFpg3KZU1SrjIwhZYHrN7LbXJleG5Hj5BJMar8oNTrbTKj4xdJBNgxemSK_jjhXLuFXFfdoo5hQ5zKiQy79GYIRiJyIiSUjTQD8OS-G6qYmyytlPD4fnEQMKY5ySxgHITmuamMV79OkmPb4wxHsDiHEAhKxquUKMfj5s2fdIQbSbUUCBoiAATgtA6SZHCF4b2bGDA9x2QRguUq8jIrrvKY1SF_P5o.WC0JzjZez5sdxVZBji3s2b4Oqr_I8LFeuWWChTFK4tY&amp;dib_tag=se&amp;keywords=Miuzei%2BServomotor&amp;qid=1745937814&amp;sprefix=miuzei%2Bservomotor%2Caps%2C75&amp;sr=8-1&amp;th=1</t>
  </si>
  <si>
    <t>Parts per order</t>
  </si>
  <si>
    <t>Length (m)</t>
  </si>
  <si>
    <t>Bulk Price (Euros)</t>
  </si>
  <si>
    <t>Parts Used</t>
  </si>
  <si>
    <t>PopTop Minibird Draadloze Controller</t>
  </si>
  <si>
    <t>Miuzei Servo Motor MS24 20Kg</t>
  </si>
  <si>
    <t>https://www.amazon.com/Miuzei-Waterproof-Steering-Digital-Control/dp/B0CQX825P1?th=1</t>
  </si>
  <si>
    <t>Micro-HDMI naar HDMI Female kabel - Zwart - 200mm</t>
  </si>
  <si>
    <t>https://www.kiwi-electronics.com/nl/raspberry-pi-5-16gb-20255?search=raspberry</t>
  </si>
  <si>
    <t>Raspberry Pi 5 - 16GB</t>
  </si>
  <si>
    <t>32GB microSD</t>
  </si>
  <si>
    <t>Raspberry Pi Camera 3 Wide</t>
  </si>
  <si>
    <t>Raspberry Pi 27W USB-C Power Supply - Wit - EU</t>
  </si>
  <si>
    <t>Raspberry Pi Active Cooler</t>
  </si>
  <si>
    <t>Microphone MAX4466 Adafruit</t>
  </si>
  <si>
    <t>Raspberry Pi Camera Kabel</t>
  </si>
  <si>
    <t>3D-jack</t>
  </si>
  <si>
    <t>Delivery Costs (Euros)</t>
  </si>
  <si>
    <t>Inserts M2</t>
  </si>
  <si>
    <t>Inserts M3</t>
  </si>
  <si>
    <t>https://www.3djake.com/cnc-kitchen/threaded-inserts-m2-standard</t>
  </si>
  <si>
    <t>https://www.3djake.com/cnc-kitchen/threaded-inserts-m3-standard</t>
  </si>
  <si>
    <t xml:space="preserve"> </t>
  </si>
  <si>
    <t>Nr Prints</t>
  </si>
  <si>
    <t>PLA</t>
  </si>
  <si>
    <t>INIU Power Bank, 100 W 25000mAh Powerbank</t>
  </si>
  <si>
    <t>USB C trigger board</t>
  </si>
  <si>
    <t>https://www.amazon.nl/Hailege-opladen-Trigger-ondersteuning-spanning/dp/B0CJY25PTB?source=ps-sl-shoppingads-lpcontext&amp;ref_=fplfs&amp;psc=1&amp;smid=A1A7E5ILEFA1R3&amp;gQT=1</t>
  </si>
  <si>
    <t>Motordriver HG7881</t>
  </si>
  <si>
    <t>https://www.amazon.nl/-/en/DollaTek-HG7881-Driver-Controller-Arduino/dp/B07DK5BBSL</t>
  </si>
  <si>
    <t>adafruit motorshield v2</t>
  </si>
  <si>
    <t>https://www.kiwi-electronics.com/en/adafruit-motor-stepper-servo-shield-for-arduino-v2-v2-3-kit-1670?srsltid=AfmBOoorI18ILPpw8IuBr6UDzmeFMQSEBpKePMoOD7WxnqLEIpFRsURW</t>
  </si>
  <si>
    <t>jumper wires</t>
  </si>
  <si>
    <t>M3 screws</t>
  </si>
  <si>
    <t>M2 screws</t>
  </si>
  <si>
    <t>cable organizers</t>
  </si>
  <si>
    <t xml:space="preserve">mouse </t>
  </si>
  <si>
    <t>keyboard</t>
  </si>
  <si>
    <t>screen</t>
  </si>
  <si>
    <t>Antennae</t>
  </si>
  <si>
    <t>Eyes</t>
  </si>
  <si>
    <t>Eyelids</t>
  </si>
  <si>
    <t>Wheels</t>
  </si>
  <si>
    <t>Body</t>
  </si>
  <si>
    <t>Numbering</t>
  </si>
  <si>
    <t>X.01</t>
  </si>
  <si>
    <t>X.02</t>
  </si>
  <si>
    <t>X.03</t>
  </si>
  <si>
    <t>X.04</t>
  </si>
  <si>
    <t>X.05</t>
  </si>
  <si>
    <t>Electronics</t>
  </si>
  <si>
    <t>X.06</t>
  </si>
  <si>
    <t>Tools</t>
  </si>
  <si>
    <t>X.00</t>
  </si>
  <si>
    <t>T.00.01</t>
  </si>
  <si>
    <t>HDMI kabel</t>
  </si>
  <si>
    <t>T.00.02</t>
  </si>
  <si>
    <t>T.00.03</t>
  </si>
  <si>
    <t>T.00.04</t>
  </si>
  <si>
    <t>T.00.05</t>
  </si>
  <si>
    <t>T.00.06</t>
  </si>
  <si>
    <t>T.00.07</t>
  </si>
  <si>
    <t>T.00.08</t>
  </si>
  <si>
    <t>Nidec DC motor MG16B-060-AA-00</t>
  </si>
  <si>
    <t>Digikey</t>
  </si>
  <si>
    <t>https://www.digikey.be/nl/products/detail/nidec-components-corporation/MG16B-060-AA-00/6469518?srsltid=AfmBOop3JtNbkP0gWt3gxXrv8EAlX3SJ8MeTh294FCDfYUXS5y4JpA2X</t>
  </si>
  <si>
    <t>https://www.kiwi-electronics.com/en/transcend-32gb-microsd-premium-class-10-uhs-i-plus-adapter-303?search=32GB%20SD</t>
  </si>
  <si>
    <t>https://www.kiwi-electronics.com/en/raspberry-pi-active-cooler-11585?search=active%20cooler</t>
  </si>
  <si>
    <t>https://www.kiwi-electronics.com/en/raspberry-pi-camera-3-wide-11241?search=pi%20camera%203%20wide</t>
  </si>
  <si>
    <t>https://www.kiwi-electronics.com/en/raspberry-pi-camera-cable-standard-mini-200mm-11588?search=pi%20camera%20cable</t>
  </si>
  <si>
    <t>https://www.kiwi-electronics.com/en/electret-microphone-amplifier-max4466-with-adjustable-gain-806?search=microphone</t>
  </si>
  <si>
    <t>https://www.kiwi-electronics.com/nl/arduino-uno-wifi-rev2-4046?search=arduino%20wifi%20rev</t>
  </si>
  <si>
    <t>https://www.amazon.nl/-/en/Dc-DC-Converter-Power-Supply-Module/dp/B0C59NHZKK</t>
  </si>
  <si>
    <t>https://www.kiwi-electronics.com/nl/siliconen-jumperwires-40-pack-m-f-20cm-10752?search=jumper%20wires</t>
  </si>
  <si>
    <t>https://www.kiwi-electronics.com/nl/usb-a-naar-usb-b-kabel-05-meter-763?search=usb%20A%20to%20usb%20B&amp;page=2</t>
  </si>
  <si>
    <t>https://www.3djake.com/cnc-kitchen/m3-cheese-head-screws-low-head-iso-14580-stainless-steel?sai=30328</t>
  </si>
  <si>
    <t>https://www.3djake.com/cnc-kitchen/m2-cheese-head-screws-low-head-iso-14580-stainless-steel?sai=30286</t>
  </si>
  <si>
    <t>T.00.09</t>
  </si>
  <si>
    <t>screwdriver set</t>
  </si>
  <si>
    <t>T.00.10</t>
  </si>
  <si>
    <t>T.00.11</t>
  </si>
  <si>
    <t>Solder Iron</t>
  </si>
  <si>
    <t>Soldering tin &amp; Wick</t>
  </si>
  <si>
    <t>Bulk Price/ Robot (Euros)</t>
  </si>
  <si>
    <t>Category</t>
  </si>
  <si>
    <t>Price/ Robot (Euros)</t>
  </si>
  <si>
    <t>Nr of Robots</t>
  </si>
  <si>
    <t>Total price (Euros)</t>
  </si>
  <si>
    <t xml:space="preserve">Retailer </t>
  </si>
  <si>
    <t>One Time Purchases</t>
  </si>
  <si>
    <t>Per Robot Purchases</t>
  </si>
  <si>
    <t>E.00.01</t>
  </si>
  <si>
    <t>E.00.02</t>
  </si>
  <si>
    <t>E.00.03</t>
  </si>
  <si>
    <t>E.00.04</t>
  </si>
  <si>
    <t>E.00.05</t>
  </si>
  <si>
    <t>E.00.06</t>
  </si>
  <si>
    <t>E.00.07</t>
  </si>
  <si>
    <t>E.00.08</t>
  </si>
  <si>
    <t>E.00.09</t>
  </si>
  <si>
    <t>E.00.10</t>
  </si>
  <si>
    <t>E.00.11</t>
  </si>
  <si>
    <t>E.00.12</t>
  </si>
  <si>
    <t>E.00.13</t>
  </si>
  <si>
    <t>E.00.14</t>
  </si>
  <si>
    <t>E.00.15</t>
  </si>
  <si>
    <t>X.00.01</t>
  </si>
  <si>
    <t>X.00.02</t>
  </si>
  <si>
    <t>X.00.03</t>
  </si>
  <si>
    <t>X.00.04</t>
  </si>
  <si>
    <t>X.00.05</t>
  </si>
  <si>
    <t>C.00.01</t>
  </si>
  <si>
    <t>C.00.02</t>
  </si>
  <si>
    <t>White</t>
  </si>
  <si>
    <t>P.00.01</t>
  </si>
  <si>
    <t>P.00.02</t>
  </si>
  <si>
    <t>P.00.03</t>
  </si>
  <si>
    <t>P.00.04</t>
  </si>
  <si>
    <t>TPU</t>
  </si>
  <si>
    <t>Grey</t>
  </si>
  <si>
    <t>Kg per robot</t>
  </si>
  <si>
    <t xml:space="preserve">Price/kg </t>
  </si>
  <si>
    <t>https://eu.store.bambulab.com/nl-nl/collections/pla/products/pla-metal?variant=46797850902876</t>
  </si>
  <si>
    <t>https://eu.store.bambulab.com/nl-nl/products/pla-basic-filament</t>
  </si>
  <si>
    <t>https://eu.store.bambulab.com/nl-nl/collections/pc-tpu/products/tpu-for-ams?variant=53421837353308</t>
  </si>
  <si>
    <t>Order Price (Euro)</t>
  </si>
  <si>
    <t>Cables</t>
  </si>
  <si>
    <t>Extras</t>
  </si>
  <si>
    <t>Printing</t>
  </si>
  <si>
    <t>Total</t>
  </si>
  <si>
    <t>Category Sum</t>
  </si>
  <si>
    <t>Delivery</t>
  </si>
  <si>
    <t>Extra costs</t>
  </si>
  <si>
    <t>Total without extra costs</t>
  </si>
  <si>
    <t>X.00.06</t>
  </si>
  <si>
    <t>Bearings</t>
  </si>
  <si>
    <t>RS</t>
  </si>
  <si>
    <t>https://nl.rs-online.com/web/p/ball-bearings/6190109?srsltid=AfmBOop9-B5A31f6NVdQKmSBED6Pspe722WTgiIt8j4Hmy9HpgQ7o4WW</t>
  </si>
  <si>
    <t>Wheel</t>
  </si>
  <si>
    <t>Total time (min)</t>
  </si>
  <si>
    <t>Material Weight (kg)</t>
  </si>
  <si>
    <t>Waste ratio</t>
  </si>
  <si>
    <t>Print time (h)</t>
  </si>
  <si>
    <t>Print weight (g)</t>
  </si>
  <si>
    <t>Total filament weight (g)</t>
  </si>
  <si>
    <t>Support weight (g)</t>
  </si>
  <si>
    <t>Metallic</t>
  </si>
  <si>
    <t>Wheel core</t>
  </si>
  <si>
    <t>Wheel cilinder</t>
  </si>
  <si>
    <t>Wheel inner core</t>
  </si>
  <si>
    <t>Antenna Left</t>
  </si>
  <si>
    <t>Antenna Right</t>
  </si>
  <si>
    <t>Antenna Holder</t>
  </si>
  <si>
    <t>Antenna Cap</t>
  </si>
  <si>
    <t>Wheel Holder</t>
  </si>
  <si>
    <t>Wheel Rim</t>
  </si>
  <si>
    <t>P.01.01</t>
  </si>
  <si>
    <t>P.01.02</t>
  </si>
  <si>
    <t>P.01.03</t>
  </si>
  <si>
    <t>P.01.04</t>
  </si>
  <si>
    <t>P.01.05</t>
  </si>
  <si>
    <t>P.01.06</t>
  </si>
  <si>
    <t>P.02.01</t>
  </si>
  <si>
    <t>P.02.02</t>
  </si>
  <si>
    <t>P.02.03</t>
  </si>
  <si>
    <t>P.02.04</t>
  </si>
  <si>
    <t>P.03.01</t>
  </si>
  <si>
    <t>P.03.02</t>
  </si>
  <si>
    <t>P.03.03</t>
  </si>
  <si>
    <t>P.03.04</t>
  </si>
  <si>
    <t>Eyelid Top</t>
  </si>
  <si>
    <t>Eyelid Bottom</t>
  </si>
  <si>
    <t>Eyelid Mechanism</t>
  </si>
  <si>
    <t>Eyelid clamp</t>
  </si>
  <si>
    <t>Eyelid Servo connector</t>
  </si>
  <si>
    <t>P.03.05</t>
  </si>
  <si>
    <t>P.04.01</t>
  </si>
  <si>
    <t>P.04.02</t>
  </si>
  <si>
    <t>P.04.03</t>
  </si>
  <si>
    <t>P.04.04</t>
  </si>
  <si>
    <t>P.04.05</t>
  </si>
  <si>
    <t>P.04.06</t>
  </si>
  <si>
    <t>Eye Pupil</t>
  </si>
  <si>
    <t>Eye Iris</t>
  </si>
  <si>
    <t>Eye White</t>
  </si>
  <si>
    <t>Eye Xaxis</t>
  </si>
  <si>
    <t>Eye Yaxis</t>
  </si>
  <si>
    <t>Eye Servo connector</t>
  </si>
  <si>
    <t>P.05.01</t>
  </si>
  <si>
    <t>Body Shell</t>
  </si>
  <si>
    <t>Body Base</t>
  </si>
  <si>
    <t>Body Bottom</t>
  </si>
  <si>
    <t>Body Top</t>
  </si>
  <si>
    <t>P.05.02</t>
  </si>
  <si>
    <t>P.05.03</t>
  </si>
  <si>
    <t>P.05.04</t>
  </si>
  <si>
    <t>Total loco</t>
  </si>
  <si>
    <t>Total no loco</t>
  </si>
  <si>
    <t>nr of robots</t>
  </si>
  <si>
    <t>Cost/Robot no Locomotion</t>
  </si>
  <si>
    <t>Cost/robot locomotion</t>
  </si>
  <si>
    <t>Dc-Dc 12V / 24V Naar 5V 5A Buck Converter</t>
  </si>
  <si>
    <t>https://www.bol.com/nl/nl/p/hofftech-tie-ribs-2-5-x-100-mm-zwart-100-stuks/9200000077032809/?bltgh=qg4kB9W2UkEusbOFQR9IlA.6_33.37.ProductTitle</t>
  </si>
  <si>
    <t>USB-C charger</t>
  </si>
  <si>
    <t xml:space="preserve">https://www.amazon.nl/-/en/25000mAh-Powerbank-External-Battery-Compatible/dp/B0B7438Q2Z/ref=sr_1_2_pp?adgrpid=163513083013&amp;dib=eyJ2IjoiMSJ9.-KP3qJ0B9dnTeS33J-atc8-qeAzevMbZ4NZHVgfjl2-XsAF8SPCDb0A-C5KC8JqrWg_r1le0QnS-ZodCB5QX16IAeTbTCq0mzrid5zCs3BEnqT0utjo0j8XMWTpt51xEjEUzkarlAbDIM0cGFGCeqGixiIOataydcPSxUi1gSGekTN-NXsqHZFLFg5ep1i47-496hlv2Vz4HGI9X11IzkeUkwrCeQd_VzzWCIta1TW3LWA9WRhSRn8SMdxsVCkriZ71k2lDg3An5FgS7S4szrsU7yGUcnwWlYC8eWp2piWM.eoi07SCvNxaPIWi_V3Qmpu9MRmwp4haQyzS9Dzd67hs&amp;dib_tag=se&amp;hvadid=702947506933&amp;hvdev=c&amp;hvlocphy=1010704&amp;hvnetw=g&amp;hvqmt=b&amp;hvrand=13804232305142098093&amp;hvtargid=kwd-2081822062451&amp;hydadcr=22973_2219007&amp;keywords=iniu+powerbank+100w&amp;mcid=0191acb76f6e3be0ac63f30aeb77c659&amp;qid=1746000652&amp;sr=8-2 </t>
  </si>
  <si>
    <t>Max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</si>
</sst>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/>
    <xf numFmtId="44" fontId="0" fillId="0" borderId="0" xfId="1" applyFont="1"/>
    <xf numFmtId="0" fontId="0" fillId="3" borderId="0" xfId="0" applyFill="1"/>
    <xf numFmtId="0" fontId="0" fillId="0" borderId="0" xfId="0" applyAlignment="1">
      <alignment horizontal="right"/>
    </xf>
    <xf numFmtId="44" fontId="4" fillId="0" borderId="0" xfId="2" applyNumberFormat="1"/>
    <xf numFmtId="0" fontId="2" fillId="2" borderId="1" xfId="0" applyFont="1" applyFill="1" applyBorder="1" applyAlignment="1">
      <alignment horizontal="center" vertical="center"/>
    </xf>
    <xf numFmtId="44" fontId="0" fillId="0" borderId="0" xfId="0" applyNumberFormat="1"/>
    <xf numFmtId="0" fontId="0" fillId="4" borderId="0" xfId="0" applyFill="1"/>
    <xf numFmtId="44" fontId="0" fillId="4" borderId="0" xfId="0" applyNumberFormat="1" applyFill="1"/>
    <xf numFmtId="0" fontId="5" fillId="4" borderId="0" xfId="0" applyFont="1" applyFill="1"/>
    <xf numFmtId="44" fontId="5" fillId="4" borderId="0" xfId="0" applyNumberFormat="1" applyFont="1" applyFill="1"/>
    <xf numFmtId="0" fontId="0" fillId="0" borderId="0" xfId="1" applyNumberFormat="1" applyFont="1"/>
    <xf numFmtId="9" fontId="0" fillId="0" borderId="0" xfId="3" applyFont="1"/>
    <xf numFmtId="0" fontId="0" fillId="0" borderId="0" xfId="3" applyNumberFormat="1" applyFont="1"/>
    <xf numFmtId="0" fontId="4" fillId="0" borderId="0" xfId="2"/>
    <xf numFmtId="44" fontId="0" fillId="5" borderId="2" xfId="0" applyNumberFormat="1" applyFill="1" applyBorder="1"/>
    <xf numFmtId="44" fontId="0" fillId="0" borderId="2" xfId="0" applyNumberFormat="1" applyBorder="1"/>
  </cellXfs>
  <cellStyles count="4">
    <cellStyle name="Currency" xfId="1" builtinId="4"/>
    <cellStyle name="Hyperlink" xfId="2" builtinId="8"/>
    <cellStyle name="Normal" xfId="0" builtinId="0"/>
    <cellStyle name="Per cent" xfId="3" builtinId="5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 &quot;€&quot;\ * #,##0.00_ ;_ &quot;€&quot;\ * \-#,##0.00_ ;_ &quot;€&quot;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 &quot;€&quot;\ * #,##0.00_ ;_ &quot;€&quot;\ * \-#,##0.00_ ;_ &quot;€&quot;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 &quot;€&quot;\ * #,##0.00_ ;_ &quot;€&quot;\ * \-#,##0.00_ ;_ &quot;€&quot;\ * &quot;-&quot;??_ ;_ @_ 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 &quot;€&quot;\ * #,##0.00_ ;_ &quot;€&quot;\ * \-#,##0.00_ ;_ &quot;€&quot;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 &quot;€&quot;\ * #,##0.00_ ;_ &quot;€&quot;\ * \-#,##0.00_ ;_ &quot;€&quot;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 &quot;€&quot;\ * #,##0.00_ ;_ &quot;€&quot;\ * \-#,##0.00_ ;_ &quot;€&quot;\ * &quot;-&quot;??_ ;_ @_ 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34" formatCode="_ &quot;€&quot;\ * #,##0.00_ ;_ &quot;€&quot;\ * \-#,##0.00_ ;_ &quot;€&quot;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 &quot;€&quot;\ * #,##0.00_ ;_ &quot;€&quot;\ * \-#,##0.00_ ;_ &quot;€&quot;\ * &quot;-&quot;??_ ;_ @_ "/>
    </dxf>
    <dxf>
      <numFmt numFmtId="0" formatCode="General"/>
    </dxf>
    <dxf>
      <numFmt numFmtId="34" formatCode="_ &quot;€&quot;\ * #,##0.00_ ;_ &quot;€&quot;\ * \-#,##0.00_ ;_ &quot;€&quot;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 &quot;€&quot;\ * #,##0.00_ ;_ &quot;€&quot;\ * \-#,##0.00_ ;_ &quot;€&quot;\ * &quot;-&quot;??_ ;_ @_ 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 &quot;€&quot;\ * #,##0.00_ ;_ &quot;€&quot;\ * \-#,##0.00_ ;_ &quot;€&quot;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 &quot;€&quot;\ * #,##0.00_ ;_ &quot;€&quot;\ * \-#,##0.00_ ;_ &quot;€&quot;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 &quot;€&quot;\ * #,##0.00_ ;_ &quot;€&quot;\ * \-#,##0.00_ ;_ &quot;€&quot;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 &quot;€&quot;\ * #,##0.00_ ;_ &quot;€&quot;\ * \-#,##0.00_ ;_ &quot;€&quot;\ * &quot;-&quot;??_ ;_ @_ 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0" formatCode="General"/>
    </dxf>
    <dxf>
      <numFmt numFmtId="34" formatCode="_ &quot;€&quot;\ * #,##0.00_ ;_ &quot;€&quot;\ * \-#,##0.00_ ;_ &quot;€&quot;\ * &quot;-&quot;??_ ;_ @_ 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4" formatCode="_ &quot;€&quot;\ * #,##0.00_ ;_ &quot;€&quot;\ * \-#,##0.00_ ;_ &quot;€&quot;\ * &quot;-&quot;??_ ;_ @_ 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Overview!$M$23</c:f>
              <c:strCache>
                <c:ptCount val="1"/>
                <c:pt idx="0">
                  <c:v>Cost/robot locomotion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Overview!$L$24:$L$30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Overview!$M$24:$M$30</c:f>
              <c:numCache>
                <c:formatCode>_("€"* #,##0.00_);_("€"* \(#,##0.00\);_("€"* "-"??_);_(@_)</c:formatCode>
                <c:ptCount val="7"/>
                <c:pt idx="0">
                  <c:v>967.22</c:v>
                </c:pt>
                <c:pt idx="1">
                  <c:v>845.91500000000008</c:v>
                </c:pt>
                <c:pt idx="2">
                  <c:v>743.28399999999999</c:v>
                </c:pt>
                <c:pt idx="3">
                  <c:v>719.32600000000002</c:v>
                </c:pt>
                <c:pt idx="4">
                  <c:v>706.56849999999997</c:v>
                </c:pt>
                <c:pt idx="5">
                  <c:v>699.38520000000017</c:v>
                </c:pt>
                <c:pt idx="6">
                  <c:v>697.08890000000019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F4-44DF-A6C1-F95A349DFE5E}"/>
            </c:ext>
          </c:extLst>
        </c:ser>
        <c:ser>
          <c:idx val="1"/>
          <c:order val="1"/>
          <c:tx>
            <c:strRef>
              <c:f>Overview!$N$23</c:f>
              <c:strCache>
                <c:ptCount val="1"/>
                <c:pt idx="0">
                  <c:v>Cost/Robot no Locomotion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Overview!$L$24:$L$30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Overview!$N$24:$N$30</c:f>
              <c:numCache>
                <c:formatCode>_("€"* #,##0.00_);_("€"* \(#,##0.00\);_("€"* "-"??_);_(@_)</c:formatCode>
                <c:ptCount val="7"/>
                <c:pt idx="0">
                  <c:v>654.41000000000008</c:v>
                </c:pt>
                <c:pt idx="1">
                  <c:v>533.10500000000002</c:v>
                </c:pt>
                <c:pt idx="2">
                  <c:v>430.47399999999993</c:v>
                </c:pt>
                <c:pt idx="3">
                  <c:v>406.51600000000008</c:v>
                </c:pt>
                <c:pt idx="4">
                  <c:v>393.75849999999991</c:v>
                </c:pt>
                <c:pt idx="5">
                  <c:v>386.57520000000022</c:v>
                </c:pt>
                <c:pt idx="6">
                  <c:v>384.27890000000025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F4-44DF-A6C1-F95A349DF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1414527"/>
        <c:axId val="891415487"/>
      </c:scatterChart>
      <c:valAx>
        <c:axId val="891414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91415487"/>
        <c:crosses val="autoZero"/>
        <c:crossBetween val="midCat"/>
      </c:valAx>
      <c:valAx>
        <c:axId val="89141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91414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566739</xdr:colOff>
      <xdr:row>19</xdr:row>
      <xdr:rowOff>43863</xdr:rowOff>
    </xdr:from>
    <xdr:to>
      <xdr:col>21</xdr:col>
      <xdr:colOff>159074</xdr:colOff>
      <xdr:row>34</xdr:row>
      <xdr:rowOff>95746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F0369C-DD24-F9CA-A34F-95F03E4932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E269AF1-5550-477E-80DF-37607805AA4B}" name="Table13" displayName="Table13" ref="L3:O14" totalsRowShown="0">
  <autoFilter ref="L3:O14" xr:uid="{9E269AF1-5550-477E-80DF-37607805AA4B}"/>
  <tableColumns count="4">
    <tableColumn id="1" xr3:uid="{11288ABD-0E08-4B29-AF07-3E9E273EECC0}" name="Category"/>
    <tableColumn id="2" xr3:uid="{BD42F3E8-A8A0-478E-8844-F8B73B733F30}" name="Bulk Price/ Robot (Euros)" dataDxfId="57">
      <calculatedColumnFormula>Table13[[#This Row],[Order Price (Euro)]]</calculatedColumnFormula>
    </tableColumn>
    <tableColumn id="3" xr3:uid="{808FF7BD-B61A-42EF-B976-3FBFAFF4346C}" name="Price/ Robot (Euros)" dataDxfId="56">
      <calculatedColumnFormula>Table13[[#This Row],[Order Price (Euro)]]/$B$4</calculatedColumnFormula>
    </tableColumn>
    <tableColumn id="4" xr3:uid="{0BAE011E-FF38-44D5-89C9-E886FD6751F2}" name="Order Price (Euro)" dataDxfId="55">
      <calculatedColumnFormula>_xleta.SUM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95D078C-ECD3-4CD3-96D6-5ECEAA20AE44}" name="Table17" displayName="Table17" ref="B3:B4" totalsRowShown="0">
  <autoFilter ref="B3:B4" xr:uid="{995D078C-ECD3-4CD3-96D6-5ECEAA20AE44}"/>
  <tableColumns count="1">
    <tableColumn id="1" xr3:uid="{C4D3CEB9-EACA-44E1-BA5C-D760636348DE}" name="Nr of Robo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BCEBB5-AB74-4356-B7A4-57342CBECC8D}" name="Table18" displayName="Table18" ref="D18:I48" totalsRowShown="0">
  <autoFilter ref="D18:I48" xr:uid="{E6BCEBB5-AB74-4356-B7A4-57342CBECC8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B549CC-8D86-40FF-8C94-F0AF9874D8E9}" name="Part Nr" dataDxfId="54">
      <calculatedColumnFormula>Electronics!B4</calculatedColumnFormula>
    </tableColumn>
    <tableColumn id="2" xr3:uid="{AD1DC04A-44C0-480B-9C9E-B3CADFE6D2BD}" name="Name" dataDxfId="53">
      <calculatedColumnFormula>Electronics!C4</calculatedColumnFormula>
    </tableColumn>
    <tableColumn id="3" xr3:uid="{6935C0BD-E98C-41F3-BC98-4373CD9412E5}" name="Order Quantity" dataDxfId="52">
      <calculatedColumnFormula>ROUNDUP(Electronics!F4*$B$4/Electronics!E4,0)</calculatedColumnFormula>
    </tableColumn>
    <tableColumn id="4" xr3:uid="{17553FFA-8BBD-4BFE-B12F-A33C5023C2E3}" name="Total price (Euros)" dataDxfId="51">
      <calculatedColumnFormula>Electronics!D4*Table18[[#This Row],[Order Quantity]]</calculatedColumnFormula>
    </tableColumn>
    <tableColumn id="5" xr3:uid="{44111446-0419-41FD-86BE-5E3E15DFDDC6}" name="Retailer " dataDxfId="50">
      <calculatedColumnFormula>Electronics!K4</calculatedColumnFormula>
    </tableColumn>
    <tableColumn id="6" xr3:uid="{7571B126-E4F5-41B7-BC1C-086C142E5587}" name="Link" dataDxfId="49">
      <calculatedColumnFormula>Electronics!L4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037B1B9-DF0C-4667-BFF1-D63C5447E8BF}" name="Table19" displayName="Table19" ref="D3:I14" totalsRowShown="0">
  <autoFilter ref="D3:I14" xr:uid="{9037B1B9-DF0C-4667-BFF1-D63C5447E8BF}"/>
  <tableColumns count="6">
    <tableColumn id="1" xr3:uid="{11E6CD00-CD76-46BB-A853-4E0DB7E14BF0}" name="Part Nr" dataDxfId="48">
      <calculatedColumnFormula>Table112[[#This Row],[Part Nr]]</calculatedColumnFormula>
    </tableColumn>
    <tableColumn id="2" xr3:uid="{ED27E2EA-4F16-428B-AF84-F822A547EF34}" name="Name" dataDxfId="47">
      <calculatedColumnFormula>Table112[[#This Row],[Part Name]]</calculatedColumnFormula>
    </tableColumn>
    <tableColumn id="3" xr3:uid="{C458CF9A-B232-45D2-9333-6186925309A6}" name="Order Quantity" dataDxfId="46"/>
    <tableColumn id="4" xr3:uid="{106A9078-BC45-4CE7-94B3-85E234E7BD10}" name="Total price (Euros)" dataDxfId="45">
      <calculatedColumnFormula>Table112[[#This Row],[Order Price (Euros)]]*Table112[[#This Row],[Order Quantity]]</calculatedColumnFormula>
    </tableColumn>
    <tableColumn id="5" xr3:uid="{BDDFF1B6-6140-4378-8BF2-019CF9C5D565}" name="Retailer " dataDxfId="44">
      <calculatedColumnFormula>Table112[[#This Row],[Retailer]]</calculatedColumnFormula>
    </tableColumn>
    <tableColumn id="6" xr3:uid="{000BD29F-5B51-4985-AECB-EB6E8FDD4E65}" name="Link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BEDBDD-2593-4793-B867-46975562A536}" name="Table6" displayName="Table6" ref="L23:N30" totalsRowShown="0">
  <autoFilter ref="L23:N30" xr:uid="{3BBEDBDD-2593-4793-B867-46975562A536}"/>
  <tableColumns count="3">
    <tableColumn id="1" xr3:uid="{ADDFEE43-AD8F-4D6B-9C16-FCB94955EAD2}" name="nr of robots"/>
    <tableColumn id="2" xr3:uid="{E63AB461-4662-46BF-9620-30BA616CEBF2}" name="Cost/robot locomotion" dataDxfId="43">
      <calculatedColumnFormula>M38+145.24</calculatedColumnFormula>
    </tableColumn>
    <tableColumn id="3" xr3:uid="{0A65F3F7-08CC-4648-AB71-F5367FCB9D58}" name="Cost/Robot no Locomotion" dataDxfId="42">
      <calculatedColumnFormula>Table6[[#This Row],[Cost/robot locomotion]]-167.57-145.24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DDE76D-29D0-441E-B020-9E3171D664C2}" name="Table2" displayName="Table2" ref="B3:C13">
  <autoFilter ref="B3:C13" xr:uid="{A3DDE76D-29D0-441E-B020-9E3171D664C2}"/>
  <tableColumns count="2">
    <tableColumn id="1" xr3:uid="{79FB377A-02DB-48A0-BD85-8B809BEEFDB3}" name="Retailers" totalsRowFunction="count"/>
    <tableColumn id="2" xr3:uid="{E3EA136E-2DCF-404F-BB68-5BAC5F6ED254}" name="Delivery Costs (Euros)" dataCellStyle="Currenc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74FF9E-4661-4547-9CAD-12D97416A734}" name="Table9" displayName="Table9" ref="E3:F15" totalsRowShown="0">
  <autoFilter ref="E3:F15" xr:uid="{8874FF9E-4661-4547-9CAD-12D97416A734}"/>
  <tableColumns count="2">
    <tableColumn id="1" xr3:uid="{65044C93-CBC0-432D-BD28-E3D827022D22}" name="Subsystems"/>
    <tableColumn id="2" xr3:uid="{CD019036-A740-46C6-8C41-0492F6156210}" name="Numbering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3C1C0C7-A7ED-40C5-87B5-AF756185F1C0}" name="Table112" displayName="Table112" ref="B3:L24" totalsRowShown="0" headerRowDxfId="41" dataDxfId="40" headerRowCellStyle="Currency" dataCellStyle="Currency">
  <autoFilter ref="B3:L24" xr:uid="{13C1C0C7-A7ED-40C5-87B5-AF756185F1C0}"/>
  <tableColumns count="11">
    <tableColumn id="1" xr3:uid="{FC01611C-4674-4380-BF3B-C8C57A492136}" name="Part Nr"/>
    <tableColumn id="2" xr3:uid="{1688233D-93D8-4CB1-B971-EEE5D2523450}" name="Part Name"/>
    <tableColumn id="3" xr3:uid="{DCC31DD4-C6FD-4152-B398-126E05F21637}" name="Order Price (Euros)" dataDxfId="39" dataCellStyle="Currency"/>
    <tableColumn id="4" xr3:uid="{55419A5A-C0AF-42C9-A67C-06023429F0DC}" name="Parts per order"/>
    <tableColumn id="10" xr3:uid="{9EB99B13-D8A1-4243-A739-DAA4C70B31B4}" name="Parts Used"/>
    <tableColumn id="5" xr3:uid="{9A015FC2-1039-41C7-AC56-721E7882B6A6}" name="Order Quantity" dataDxfId="38"/>
    <tableColumn id="6" xr3:uid="{E2614ABB-4C2E-4799-9B3D-928BB3D60697}" name="Part Price (Euros)" dataDxfId="37" dataCellStyle="Currency">
      <calculatedColumnFormula>IFERROR(Table112[[#This Row],[Order Price (Euros)]]/Table112[[#This Row],[Parts per order]],0)</calculatedColumnFormula>
    </tableColumn>
    <tableColumn id="11" xr3:uid="{4C68C04C-C33D-4402-932B-48683C8F68DB}" name="Bulk Price (Euros)" dataDxfId="36" dataCellStyle="Currency">
      <calculatedColumnFormula>Table112[[#This Row],[Part Price (Euros)]]*Table112[[#This Row],[Parts Used]]</calculatedColumnFormula>
    </tableColumn>
    <tableColumn id="7" xr3:uid="{B1911132-6084-4CA4-BE5D-2A46E607131C}" name="Total Price (Euros)" dataDxfId="35" dataCellStyle="Currency">
      <calculatedColumnFormula>Table112[[#This Row],[Order Price (Euros)]]*Table112[[#This Row],[Order Quantity]]</calculatedColumnFormula>
    </tableColumn>
    <tableColumn id="8" xr3:uid="{9E602784-806F-4975-AC44-E554506D1317}" name="Retailer" dataDxfId="34" dataCellStyle="Currency"/>
    <tableColumn id="9" xr3:uid="{95AC321F-5B6B-4057-A345-1C8E32B37BE0}" name="Link" dataDxfId="33" dataCellStyle="Currenc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110894-17A1-43D3-BEAD-1CDA337287A2}" name="Table14" displayName="Table14" ref="B3:O28" totalsRowShown="0">
  <autoFilter ref="B3:O28" xr:uid="{AE949CEA-51CC-4FBA-9A27-378C11DAE96B}"/>
  <tableColumns count="14">
    <tableColumn id="1" xr3:uid="{B2572D59-F96E-4B3A-911A-5F61847DC148}" name="Part Nr"/>
    <tableColumn id="2" xr3:uid="{4F976EEE-7576-45C1-AFAC-891E84A08366}" name="Part Name"/>
    <tableColumn id="3" xr3:uid="{D5E68B32-13F8-45FF-B539-6F9EF4BB4001}" name="Print weight (g)" dataDxfId="32" dataCellStyle="Currency"/>
    <tableColumn id="7" xr3:uid="{4184EF18-07F1-4C1A-A854-E16ADA37FD56}" name="Total filament weight (g)" dataDxfId="31" dataCellStyle="Currency"/>
    <tableColumn id="4" xr3:uid="{4FCEF931-87C7-4842-880A-271B3BD5CB04}" name="Support weight (g)" dataDxfId="30">
      <calculatedColumnFormula>Table14[[#This Row],[Total filament weight (g)]]-Table14[[#This Row],[Print weight (g)]]</calculatedColumnFormula>
    </tableColumn>
    <tableColumn id="18" xr3:uid="{A9D31E3C-55B8-4786-A2FD-8FA626912035}" name="Nr Prints"/>
    <tableColumn id="5" xr3:uid="{5495BD58-F256-472E-9752-8038C1259373}" name="Print time (h)" dataDxfId="29"/>
    <tableColumn id="6" xr3:uid="{43C8FE98-F6E1-4B28-8485-B92BC230D544}" name="Print time (min)" dataDxfId="28" dataCellStyle="Per cent"/>
    <tableColumn id="19" xr3:uid="{F64E493E-401D-4C99-8A24-D9AC47EB20DA}" name="Waste ratio" dataDxfId="27" dataCellStyle="Per cent">
      <calculatedColumnFormula>IFERROR(Table14[[#This Row],[Print weight (g)]]/(Table14[[#This Row],[Print weight (g)]]+Table14[[#This Row],[Support weight (g)]]),0)</calculatedColumnFormula>
    </tableColumn>
    <tableColumn id="17" xr3:uid="{37D0D726-D8B7-46E0-B08F-84A33658037A}" name="Retailer" dataDxfId="26" dataCellStyle="Currency"/>
    <tableColumn id="8" xr3:uid="{23A5178B-741D-469B-903E-A182A5AA87B7}" name="Total time (min)" dataDxfId="25">
      <calculatedColumnFormula>(Table14[[#This Row],[Print time (min)]]+60*Table14[[#This Row],[Print time (h)]])*Table14[[#This Row],[Nr Prints]]</calculatedColumnFormula>
    </tableColumn>
    <tableColumn id="9" xr3:uid="{391E7A37-BB2D-4093-92A3-C560B76B1EC7}" name="Material Weight (kg)" dataDxfId="24">
      <calculatedColumnFormula>Table14[[#This Row],[Nr Prints]]*(Table14[[#This Row],[Print weight (g)]]+Table14[[#This Row],[Support weight (g)]])/1000</calculatedColumnFormula>
    </tableColumn>
    <tableColumn id="10" xr3:uid="{C93E40D2-216E-4097-867C-508003B8E97C}" name="Material"/>
    <tableColumn id="12" xr3:uid="{4196AF5C-EE49-4D88-AD34-F48C93EF2486}" name="Colo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A1D133D-0B7C-4653-9A2D-DACDCC436D3C}" name="Table12" displayName="Table12" ref="D33:J37" totalsRowShown="0">
  <autoFilter ref="D33:J37" xr:uid="{EA1D133D-0B7C-4653-9A2D-DACDCC436D3C}"/>
  <tableColumns count="7">
    <tableColumn id="1" xr3:uid="{3FD26181-CB5E-4337-871F-3CB053ED4C1D}" name="Part Nr"/>
    <tableColumn id="2" xr3:uid="{8A4C6CD6-4164-4A22-AF19-A7E819ACF255}" name="Material"/>
    <tableColumn id="3" xr3:uid="{7D0754C3-D4F3-4798-88D1-15E34B8C7DE5}" name="Color"/>
    <tableColumn id="4" xr3:uid="{D7FEBB23-1349-4716-87F5-37A4035AB120}" name="Price/kg "/>
    <tableColumn id="5" xr3:uid="{F7CDBDC4-BD8D-4A15-A972-5E9A12988113}" name="Kg per robot" dataDxfId="23">
      <calculatedColumnFormula>SUMIFS($M$4:$M$28,$N$4:$N$28,Table12[[#This Row],[Material]],$O$4:$O$28,Table12[[#This Row],[Color]])</calculatedColumnFormula>
    </tableColumn>
    <tableColumn id="7" xr3:uid="{57302EA3-795E-4C75-974E-A010F9E81E3E}" name="Retailer"/>
    <tableColumn id="8" xr3:uid="{26340BA5-A114-465D-924A-BE5133A17B89}" name="Link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2C7D41-E80F-4012-81BD-8FCEFEA38F94}" name="Table16" displayName="Table16" ref="B3:P18" totalsRowShown="0">
  <autoFilter ref="B3:P18" xr:uid="{AE949CEA-51CC-4FBA-9A27-378C11DAE96B}"/>
  <tableColumns count="15">
    <tableColumn id="1" xr3:uid="{97D8227C-F5EB-4A98-95DA-F45B909439E4}" name="Part Nr"/>
    <tableColumn id="2" xr3:uid="{08187F82-99C6-4AB0-8550-49C0BF8C11B3}" name="Part Name"/>
    <tableColumn id="3" xr3:uid="{C4A9BECC-A8FF-4FC0-A25F-3DD31FE5205C}" name="Order Price (Euros)" dataCellStyle="Currency"/>
    <tableColumn id="4" xr3:uid="{542E0F5D-4540-4912-972B-6765E77C7DD0}" name="Parts per order"/>
    <tableColumn id="15" xr3:uid="{B78A10BE-1859-41FD-BAB4-942CDA6E83B5}" name="Parts Used"/>
    <tableColumn id="12" xr3:uid="{6FB1073E-BF34-40B9-B813-39556CBD4A71}" name="Order Quantity"/>
    <tableColumn id="13" xr3:uid="{48FAEBB1-6EB3-4A85-9510-FBF4E5EBF862}" name="Part Price (Euros)" dataCellStyle="Currency">
      <calculatedColumnFormula>IFERROR(Table16[[#This Row],[Order Price (Euros)]]/Table16[[#This Row],[Parts per order]],0)</calculatedColumnFormula>
    </tableColumn>
    <tableColumn id="14" xr3:uid="{8E623364-EDC9-47C9-8A64-00022620F578}" name="Bulk Price (Euros)" dataDxfId="22" dataCellStyle="Currency">
      <calculatedColumnFormula>Table16[[#This Row],[Part Price (Euros)]]*Table16[[#This Row],[Parts Used]]</calculatedColumnFormula>
    </tableColumn>
    <tableColumn id="5" xr3:uid="{D7FA5EB5-26B8-4326-ACDE-EE7E08623E4B}" name="Total Price (Euros)" dataDxfId="21" dataCellStyle="Currency">
      <calculatedColumnFormula>Table16[[#This Row],[Order Price (Euros)]]*Table16[[#This Row],[Order Quantity]]</calculatedColumnFormula>
    </tableColumn>
    <tableColumn id="6" xr3:uid="{C3B0C0F9-CC34-4BA5-A54F-34F53984C5E7}" name="Retailer"/>
    <tableColumn id="7" xr3:uid="{7CEA0FAA-F160-41E3-918D-9F0A99D3DC86}" name="Link"/>
    <tableColumn id="8" xr3:uid="{B6ED71A5-4AEF-45D8-B5E8-B57E5AB0C53B}" name="Power Consumption (W)"/>
    <tableColumn id="9" xr3:uid="{F9B06661-B23C-46F3-BF50-B98B975EAE46}" name="Max Power Rating (W)" dataDxfId="20">
      <calculatedColumnFormula>Table16[[#This Row],[Max Current (A)]]*Table16[[#This Row],[Rated Voltage (V)]]*Table16[[#This Row],[Parts Used]]</calculatedColumnFormula>
    </tableColumn>
    <tableColumn id="10" xr3:uid="{0EABB0FF-8BA4-49ED-80B5-DB49F9A76AEF}" name="Rated Voltage (V)"/>
    <tableColumn id="11" xr3:uid="{D1CFC604-0D62-4A7E-8862-A2FEB677D089}" name="Max Current (A)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1ABE45D-D852-456D-BE48-FE2A6A357E4A}" name="Table1611" displayName="Table1611" ref="B3:M5" totalsRowShown="0">
  <autoFilter ref="B3:M5" xr:uid="{E1ABE45D-D852-456D-BE48-FE2A6A357E4A}"/>
  <tableColumns count="12">
    <tableColumn id="1" xr3:uid="{AAC31FC1-A0D0-420D-81C3-39CAFC4B563D}" name="Part Nr"/>
    <tableColumn id="2" xr3:uid="{CB361032-7E19-449D-ABFF-3C5258F7519C}" name="Part Name"/>
    <tableColumn id="3" xr3:uid="{C5646FBF-B716-4C5B-90DF-E1E16D5C655C}" name="Order Price (Euros)" dataCellStyle="Currency"/>
    <tableColumn id="4" xr3:uid="{7F23C30F-DA24-4F9B-AA77-25CA9E4899CB}" name="Parts per order"/>
    <tableColumn id="15" xr3:uid="{ED9CF3D4-E173-4146-B90A-6583AB629C3F}" name="Parts Used"/>
    <tableColumn id="12" xr3:uid="{37899D8E-EDCF-4C19-BF55-671F5CF585E7}" name="Order Quantity"/>
    <tableColumn id="13" xr3:uid="{2EB38D31-095E-42E5-BBA9-A741407A4F11}" name="Part Price (Euros)" dataCellStyle="Currency">
      <calculatedColumnFormula>IFERROR(Table1611[[#This Row],[Order Price (Euros)]]/Table1611[[#This Row],[Parts per order]],0)</calculatedColumnFormula>
    </tableColumn>
    <tableColumn id="16" xr3:uid="{0B17830B-7AA4-4376-990D-806F126163BB}" name="Bulk Price (Euros)" dataDxfId="19" dataCellStyle="Currency">
      <calculatedColumnFormula>Table1611[[#This Row],[Part Price (Euros)]]*Table1611[[#This Row],[Parts Used]]</calculatedColumnFormula>
    </tableColumn>
    <tableColumn id="5" xr3:uid="{A1DA542C-F953-482A-A64F-D1555910EF9D}" name="Total Price (Euros)" dataDxfId="18" dataCellStyle="Currency">
      <calculatedColumnFormula>Table1611[[#This Row],[Order Price (Euros)]]*Table1611[[#This Row],[Order Quantity]]</calculatedColumnFormula>
    </tableColumn>
    <tableColumn id="6" xr3:uid="{E9D1EF0D-DB0C-4A30-AF79-31E6653884FC}" name="Retailer"/>
    <tableColumn id="7" xr3:uid="{C04A0B73-915D-457D-B6B1-A4C1EBE233B3}" name="Link"/>
    <tableColumn id="14" xr3:uid="{70C7584B-6A68-47B1-99A7-64F0D55A710D}" name="Length (m)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85EA29-F892-4D8D-9A95-C366C351DEA0}" name="Table15" displayName="Table15" ref="B3:L9" totalsRowShown="0" headerRowDxfId="17" dataDxfId="16" headerRowCellStyle="Currency" dataCellStyle="Currency">
  <autoFilter ref="B3:L9" xr:uid="{AE949CEA-51CC-4FBA-9A27-378C11DAE96B}"/>
  <tableColumns count="11">
    <tableColumn id="1" xr3:uid="{88479EFF-9954-4C9B-8836-AB32B08E4846}" name="Part Nr"/>
    <tableColumn id="2" xr3:uid="{D79A32FC-41C3-4258-BB32-9FEFC1082A23}" name="Part Name"/>
    <tableColumn id="3" xr3:uid="{D383E3D0-DE2F-4A28-A5B9-500ECFA1C5C5}" name="Order Price (Euros)" dataDxfId="15" dataCellStyle="Currency"/>
    <tableColumn id="4" xr3:uid="{93DB59BE-4379-423C-802F-322364EDA9A9}" name="Parts per order"/>
    <tableColumn id="10" xr3:uid="{874999DD-2E2B-4ED8-B4E1-CB1730A8FF3D}" name="Parts Used"/>
    <tableColumn id="5" xr3:uid="{A3A91A4B-A646-4CD1-B945-2B16C62CE166}" name="Order Quantity" dataDxfId="14"/>
    <tableColumn id="6" xr3:uid="{E73D3586-AD17-4CCF-BB23-62E5C383FEA1}" name="Part Price (Euros)" dataDxfId="13" dataCellStyle="Currency">
      <calculatedColumnFormula>IFERROR(Table15[[#This Row],[Order Price (Euros)]]/Table15[[#This Row],[Parts per order]],0)</calculatedColumnFormula>
    </tableColumn>
    <tableColumn id="11" xr3:uid="{884B294F-D217-4DC6-AFBF-139D3D27BE18}" name="Bulk Price (Euros)" dataDxfId="12" dataCellStyle="Currency">
      <calculatedColumnFormula>Table15[[#This Row],[Part Price (Euros)]]*Table15[[#This Row],[Parts Used]]</calculatedColumnFormula>
    </tableColumn>
    <tableColumn id="7" xr3:uid="{855B0F80-5865-4C44-8367-C94B13C94E58}" name="Total Price (Euros)" dataDxfId="11" dataCellStyle="Currency">
      <calculatedColumnFormula>Table15[[#This Row],[Order Price (Euros)]]*Table15[[#This Row],[Order Quantity]]</calculatedColumnFormula>
    </tableColumn>
    <tableColumn id="8" xr3:uid="{3A036F4F-3E75-4B88-BA6A-23CB0B3AC6A4}" name="Retailer" dataDxfId="10" dataCellStyle="Currency"/>
    <tableColumn id="9" xr3:uid="{85655FDB-C1B2-423E-AFDA-343A6BFFB9A6}" name="Link" dataDxfId="9" dataCellStyle="Currency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949CEA-51CC-4FBA-9A27-378C11DAE96B}" name="Table1" displayName="Table1" ref="B3:L28" totalsRowShown="0" headerRowDxfId="8" dataDxfId="7" headerRowCellStyle="Currency" dataCellStyle="Currency">
  <autoFilter ref="B3:L28" xr:uid="{AE949CEA-51CC-4FBA-9A27-378C11DAE96B}"/>
  <tableColumns count="11">
    <tableColumn id="1" xr3:uid="{FBCB9F37-79D3-48B5-98C3-73AA037A0B1F}" name="Part Nr"/>
    <tableColumn id="2" xr3:uid="{96E63B90-316D-4BEC-B058-4E286601D434}" name="Part Name"/>
    <tableColumn id="3" xr3:uid="{43C91E37-0CD5-42E1-B863-D4A384181022}" name="Order Price (Euros)" dataDxfId="6" dataCellStyle="Currency"/>
    <tableColumn id="4" xr3:uid="{2741664E-ABD7-492B-B936-E936FF5D4265}" name="Parts per order"/>
    <tableColumn id="10" xr3:uid="{A6BF5CD1-7240-4D51-89B5-E76B4B6F5A8E}" name="Parts Used"/>
    <tableColumn id="5" xr3:uid="{530D78B0-454C-43FF-B1B8-637566E20BA6}" name="Order Quantity" dataDxfId="5"/>
    <tableColumn id="6" xr3:uid="{E985C353-8132-4FD1-9A99-C83EB9ECB302}" name="Part Price (Euros)" dataDxfId="4" dataCellStyle="Currency">
      <calculatedColumnFormula>IFERROR(Table1[[#This Row],[Order Price (Euros)]]/Table1[[#This Row],[Parts per order]],0)</calculatedColumnFormula>
    </tableColumn>
    <tableColumn id="11" xr3:uid="{D0F857C7-3CF9-406F-99B8-F3A993138F6E}" name="Bulk Price (Euros)" dataDxfId="3" dataCellStyle="Currency">
      <calculatedColumnFormula>Table1[[#This Row],[Part Price (Euros)]]*Table1[[#This Row],[Parts Used]]</calculatedColumnFormula>
    </tableColumn>
    <tableColumn id="7" xr3:uid="{43E1FEC9-F946-4ED8-8592-11E53222E633}" name="Total Price (Euros)" dataDxfId="2" dataCellStyle="Currency">
      <calculatedColumnFormula>Table1[[#This Row],[Order Price (Euros)]]*Table1[[#This Row],[Order Quantity]]</calculatedColumnFormula>
    </tableColumn>
    <tableColumn id="8" xr3:uid="{8769C859-67D8-44FD-9D66-2EC4EDC469EA}" name="Retailer" dataDxfId="1" dataCellStyle="Currency"/>
    <tableColumn id="9" xr3:uid="{06D06537-EEF2-4E37-B6D5-3C7B373C6FDA}" name="Link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Afstuderen">
      <a:dk1>
        <a:srgbClr val="14213D"/>
      </a:dk1>
      <a:lt1>
        <a:srgbClr val="E5E5E5"/>
      </a:lt1>
      <a:dk2>
        <a:srgbClr val="44546A"/>
      </a:dk2>
      <a:lt2>
        <a:srgbClr val="E7E6E6"/>
      </a:lt2>
      <a:accent1>
        <a:srgbClr val="14213D"/>
      </a:accent1>
      <a:accent2>
        <a:srgbClr val="FCA311"/>
      </a:accent2>
      <a:accent3>
        <a:srgbClr val="B0B0B0"/>
      </a:accent3>
      <a:accent4>
        <a:srgbClr val="C5C5C5"/>
      </a:accent4>
      <a:accent5>
        <a:srgbClr val="E5E5E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iwi-electronics.com/en/raspberry-pi-camera-3-wide-11241?search=pi%20camera%203%20wide" TargetMode="External"/><Relationship Id="rId13" Type="http://schemas.openxmlformats.org/officeDocument/2006/relationships/hyperlink" Target="https://www.amazon.nl/-/en/DollaTek-HG7881-Driver-Controller-Arduino/dp/B07DK5BBSL" TargetMode="External"/><Relationship Id="rId3" Type="http://schemas.openxmlformats.org/officeDocument/2006/relationships/hyperlink" Target="https://www.amazon.com/Miuzei-Waterproof-Steering-Digital-Control/dp/B0CQX825P1?th=1" TargetMode="External"/><Relationship Id="rId7" Type="http://schemas.openxmlformats.org/officeDocument/2006/relationships/hyperlink" Target="https://www.kiwi-electronics.com/en/transcend-32gb-microsd-premium-class-10-uhs-i-plus-adapter-303?search=32GB%20SD" TargetMode="External"/><Relationship Id="rId12" Type="http://schemas.openxmlformats.org/officeDocument/2006/relationships/hyperlink" Target="https://www.amazon.nl/Hailege-opladen-Trigger-ondersteuning-spanning/dp/B0CJY25PTB?source=ps-sl-shoppingads-lpcontext&amp;ref_=fplfs&amp;psc=1&amp;smid=A1A7E5ILEFA1R3&amp;gQT=1" TargetMode="External"/><Relationship Id="rId2" Type="http://schemas.openxmlformats.org/officeDocument/2006/relationships/hyperlink" Target="https://www.amazon.nl/-/en/Miuzei-Degree-Arduino-Building-Airplane/dp/B0D7ZW6LSW/ref=sr_1_1?crid=2N57DUX6R0AHI&amp;dib=eyJ2IjoiMSJ9.h3ZwD21amosGoaWQ_NC1EQfJMHC-RwfjVwdsn5_5LqiNdQqiHE5rlgvsahqeUoDEnawGrLsTTk-LnbpFpg3KZU1SrjIwhZYHrN7LbXJleG5Hj5BJMar8oNTrbTKj4xdJBNgxemSK_jjhXLuFXFfdoo5hQ5zKiQy79GYIRiJyIiSUjTQD8OS-G6qYmyytlPD4fnEQMKY5ySxgHITmuamMV79OkmPb4wxHsDiHEAhKxquUKMfj5s2fdIQbSbUUCBoiAATgtA6SZHCF4b2bGDA9x2QRguUq8jIrrvKY1SF_P5o.WC0JzjZez5sdxVZBji3s2b4Oqr_I8LFeuWWChTFK4tY&amp;dib_tag=se&amp;keywords=Miuzei%2BServomotor&amp;qid=1745937814&amp;sprefix=miuzei%2Bservomotor%2Caps%2C75&amp;sr=8-1&amp;th=1" TargetMode="External"/><Relationship Id="rId1" Type="http://schemas.openxmlformats.org/officeDocument/2006/relationships/hyperlink" Target="https://www.kiwi-electronics.com/nl/arduino-uno-wifi-rev2-4046?search=arduino%20wifi%20rev" TargetMode="External"/><Relationship Id="rId6" Type="http://schemas.openxmlformats.org/officeDocument/2006/relationships/hyperlink" Target="https://www.kiwi-electronics.com/en/raspberry-pi-active-cooler-11585?search=active%20cooler" TargetMode="External"/><Relationship Id="rId11" Type="http://schemas.openxmlformats.org/officeDocument/2006/relationships/hyperlink" Target="https://www.amazon.nl/-/en/Dc-DC-Converter-Power-Supply-Module/dp/B0C59NHZKK" TargetMode="External"/><Relationship Id="rId5" Type="http://schemas.openxmlformats.org/officeDocument/2006/relationships/hyperlink" Target="https://www.kiwi-electronics.com/nl/raspberry-pi-5-16gb-20255?search=raspberry" TargetMode="External"/><Relationship Id="rId15" Type="http://schemas.openxmlformats.org/officeDocument/2006/relationships/table" Target="../tables/table11.xml"/><Relationship Id="rId10" Type="http://schemas.openxmlformats.org/officeDocument/2006/relationships/hyperlink" Target="https://www.kiwi-electronics.com/en/electret-microphone-amplifier-max4466-with-adjustable-gain-806?search=microphone" TargetMode="External"/><Relationship Id="rId4" Type="http://schemas.openxmlformats.org/officeDocument/2006/relationships/hyperlink" Target="https://www.digikey.be/nl/products/detail/nidec-components-corporation/MG16B-060-AA-00/6469518?srsltid=AfmBOop3JtNbkP0gWt3gxXrv8EAlX3SJ8MeTh294FCDfYUXS5y4JpA2X" TargetMode="External"/><Relationship Id="rId9" Type="http://schemas.openxmlformats.org/officeDocument/2006/relationships/hyperlink" Target="https://www.kiwi-electronics.com/en/raspberry-pi-camera-cable-standard-mini-200mm-11588?search=pi%20camera%20cable" TargetMode="External"/><Relationship Id="rId14" Type="http://schemas.openxmlformats.org/officeDocument/2006/relationships/hyperlink" Target="https://www.kiwi-electronics.com/en/adafruit-motor-stepper-servo-shield-for-arduino-v2-v2-3-kit-1670?srsltid=AfmBOoorI18ILPpw8IuBr6UDzmeFMQSEBpKePMoOD7WxnqLEIpFRsURW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0233-0F59-4F7B-826F-788465F2DB0A}">
  <dimension ref="B1:O266"/>
  <sheetViews>
    <sheetView topLeftCell="A12" zoomScaleNormal="100" workbookViewId="0">
      <selection activeCell="K23" sqref="K23"/>
    </sheetView>
  </sheetViews>
  <sheetFormatPr defaultRowHeight="14.4" x14ac:dyDescent="0.3"/>
  <cols>
    <col min="2" max="2" width="13.21875" bestFit="1" customWidth="1"/>
    <col min="3" max="3" width="11.21875" bestFit="1" customWidth="1"/>
    <col min="4" max="4" width="17.21875" customWidth="1"/>
    <col min="5" max="5" width="41.21875" customWidth="1"/>
    <col min="6" max="6" width="15.109375" customWidth="1"/>
    <col min="7" max="7" width="17.88671875" customWidth="1"/>
    <col min="8" max="8" width="14.109375" bestFit="1" customWidth="1"/>
    <col min="9" max="9" width="10.33203125" customWidth="1"/>
    <col min="12" max="12" width="12.33203125" customWidth="1"/>
    <col min="13" max="13" width="24" bestFit="1" customWidth="1"/>
    <col min="14" max="14" width="19.88671875" bestFit="1" customWidth="1"/>
    <col min="15" max="15" width="18.109375" bestFit="1" customWidth="1"/>
    <col min="16" max="16" width="9.88671875" customWidth="1"/>
  </cols>
  <sheetData>
    <row r="1" spans="2:15" x14ac:dyDescent="0.3">
      <c r="J1" t="s">
        <v>47</v>
      </c>
    </row>
    <row r="2" spans="2:15" x14ac:dyDescent="0.3">
      <c r="D2" s="6" t="s">
        <v>114</v>
      </c>
      <c r="E2" s="6"/>
      <c r="F2" s="6"/>
      <c r="G2" s="6"/>
      <c r="H2" s="6"/>
      <c r="I2" s="6"/>
      <c r="J2" t="s">
        <v>47</v>
      </c>
    </row>
    <row r="3" spans="2:15" x14ac:dyDescent="0.3">
      <c r="B3" t="s">
        <v>111</v>
      </c>
      <c r="D3" t="s">
        <v>0</v>
      </c>
      <c r="E3" t="s">
        <v>1</v>
      </c>
      <c r="F3" t="s">
        <v>21</v>
      </c>
      <c r="G3" t="s">
        <v>112</v>
      </c>
      <c r="H3" t="s">
        <v>113</v>
      </c>
      <c r="I3" t="s">
        <v>4</v>
      </c>
      <c r="J3" t="s">
        <v>47</v>
      </c>
      <c r="L3" t="s">
        <v>109</v>
      </c>
      <c r="M3" t="s">
        <v>108</v>
      </c>
      <c r="N3" t="s">
        <v>110</v>
      </c>
      <c r="O3" t="s">
        <v>150</v>
      </c>
    </row>
    <row r="4" spans="2:15" x14ac:dyDescent="0.3">
      <c r="B4">
        <v>1</v>
      </c>
      <c r="D4" t="str">
        <f>Table112[[#This Row],[Part Nr]]</f>
        <v>T.00.01</v>
      </c>
      <c r="E4" t="str">
        <f>Table112[[#This Row],[Part Name]]</f>
        <v>PopTop Minibird Draadloze Controller</v>
      </c>
      <c r="F4">
        <v>1</v>
      </c>
      <c r="G4" s="2">
        <f>Table112[[#This Row],[Order Price (Euros)]]*Table112[[#This Row],[Order Quantity]]</f>
        <v>34.99</v>
      </c>
      <c r="H4" t="str">
        <f>Table112[[#This Row],[Retailer]]</f>
        <v>Bol</v>
      </c>
      <c r="J4" t="s">
        <v>47</v>
      </c>
      <c r="L4" t="s">
        <v>77</v>
      </c>
      <c r="M4" s="7">
        <v>0</v>
      </c>
      <c r="N4" s="7">
        <f>Table13[[#This Row],[Order Price (Euro)]]/$B$4</f>
        <v>54.23</v>
      </c>
      <c r="O4" s="7">
        <f>SUM(Table19[Total price (Euros)])</f>
        <v>54.23</v>
      </c>
    </row>
    <row r="5" spans="2:15" x14ac:dyDescent="0.3">
      <c r="D5" t="str">
        <f>Table112[[#This Row],[Part Nr]]</f>
        <v>T.00.02</v>
      </c>
      <c r="E5" t="str">
        <f>Table112[[#This Row],[Part Name]]</f>
        <v>USB-C charger</v>
      </c>
      <c r="F5">
        <v>1</v>
      </c>
      <c r="G5" s="7">
        <f>Table112[[#This Row],[Order Price (Euros)]]*Table112[[#This Row],[Order Quantity]]</f>
        <v>0</v>
      </c>
      <c r="J5" t="s">
        <v>47</v>
      </c>
      <c r="L5" t="s">
        <v>75</v>
      </c>
      <c r="M5" s="7">
        <f>SUM(Table16[Bulk Price (Euros)])</f>
        <v>606.63866666666672</v>
      </c>
      <c r="N5" s="7">
        <f>Table13[[#This Row],[Order Price (Euro)]]/$B$4</f>
        <v>631.62</v>
      </c>
      <c r="O5" s="7">
        <f>SUM(G19:G33)</f>
        <v>631.62</v>
      </c>
    </row>
    <row r="6" spans="2:15" x14ac:dyDescent="0.3">
      <c r="D6" t="str">
        <f>Table112[[#This Row],[Part Nr]]</f>
        <v>T.00.03</v>
      </c>
      <c r="E6" t="str">
        <f>Table112[[#This Row],[Part Name]]</f>
        <v>Micro-HDMI naar HDMI Female kabel - Zwart - 200mm</v>
      </c>
      <c r="F6">
        <v>1</v>
      </c>
      <c r="G6" s="7">
        <f>Table112[[#This Row],[Order Price (Euros)]]*Table112[[#This Row],[Order Quantity]]</f>
        <v>5.34</v>
      </c>
      <c r="H6" t="str">
        <f>Table112[[#This Row],[Retailer]]</f>
        <v>KiwiElectronics</v>
      </c>
      <c r="J6" t="s">
        <v>47</v>
      </c>
      <c r="L6" t="s">
        <v>151</v>
      </c>
      <c r="M6" s="7">
        <f>SUM(Table1611[Bulk Price (Euros)])</f>
        <v>4.0824999999999996</v>
      </c>
      <c r="N6" s="7">
        <f>Table13[[#This Row],[Order Price (Euro)]]/$B$4</f>
        <v>6.72</v>
      </c>
      <c r="O6" s="7">
        <f>SUM(G35:G36)</f>
        <v>6.72</v>
      </c>
    </row>
    <row r="7" spans="2:15" x14ac:dyDescent="0.3">
      <c r="D7" t="str">
        <f>Table112[[#This Row],[Part Nr]]</f>
        <v>T.00.04</v>
      </c>
      <c r="E7" t="str">
        <f>Table112[[#This Row],[Part Name]]</f>
        <v>Raspberry Pi 27W USB-C Power Supply - Wit - EU</v>
      </c>
      <c r="F7">
        <v>1</v>
      </c>
      <c r="G7" s="7">
        <f>Table112[[#This Row],[Order Price (Euros)]]*Table112[[#This Row],[Order Quantity]]</f>
        <v>13.9</v>
      </c>
      <c r="H7" t="str">
        <f>Table112[[#This Row],[Retailer]]</f>
        <v>KiwiElectronics</v>
      </c>
      <c r="J7" t="s">
        <v>47</v>
      </c>
      <c r="L7" t="s">
        <v>152</v>
      </c>
      <c r="M7" s="7">
        <f>SUM(Table15[Bulk Price (Euros)])</f>
        <v>24.378999999999998</v>
      </c>
      <c r="N7" s="7">
        <f>Table13[[#This Row],[Order Price (Euro)]]/$B$4</f>
        <v>42.33</v>
      </c>
      <c r="O7" s="7">
        <f>SUM(G38:G42)</f>
        <v>42.33</v>
      </c>
    </row>
    <row r="8" spans="2:15" x14ac:dyDescent="0.3">
      <c r="D8" t="str">
        <f>Table112[[#This Row],[Part Nr]]</f>
        <v>T.00.05</v>
      </c>
      <c r="E8" t="str">
        <f>Table112[[#This Row],[Part Name]]</f>
        <v xml:space="preserve">mouse </v>
      </c>
      <c r="F8">
        <v>1</v>
      </c>
      <c r="G8" s="7">
        <f>Table112[[#This Row],[Order Price (Euros)]]*Table112[[#This Row],[Order Quantity]]</f>
        <v>0</v>
      </c>
      <c r="J8" t="s">
        <v>47</v>
      </c>
      <c r="L8" t="s">
        <v>153</v>
      </c>
      <c r="M8" s="7">
        <f>SUM(Table14[Waste ratio])</f>
        <v>23.050267597220213</v>
      </c>
      <c r="N8" s="7">
        <f>Table13[[#This Row],[Order Price (Euro)]]/$B$4</f>
        <v>144.35</v>
      </c>
      <c r="O8" s="7">
        <f>SUM(G45:G48)</f>
        <v>144.35</v>
      </c>
    </row>
    <row r="9" spans="2:15" x14ac:dyDescent="0.3">
      <c r="D9" t="str">
        <f>Table112[[#This Row],[Part Nr]]</f>
        <v>T.00.06</v>
      </c>
      <c r="E9" t="str">
        <f>Table112[[#This Row],[Part Name]]</f>
        <v>keyboard</v>
      </c>
      <c r="F9">
        <v>1</v>
      </c>
      <c r="G9" s="7">
        <f>Table112[[#This Row],[Order Price (Euros)]]*Table112[[#This Row],[Order Quantity]]</f>
        <v>0</v>
      </c>
      <c r="J9" t="s">
        <v>47</v>
      </c>
      <c r="L9" s="10" t="s">
        <v>158</v>
      </c>
      <c r="M9" s="11"/>
      <c r="N9" s="11"/>
      <c r="O9" s="10"/>
    </row>
    <row r="10" spans="2:15" x14ac:dyDescent="0.3">
      <c r="D10" t="str">
        <f>Table112[[#This Row],[Part Nr]]</f>
        <v>T.00.07</v>
      </c>
      <c r="E10" t="str">
        <f>Table112[[#This Row],[Part Name]]</f>
        <v>screen</v>
      </c>
      <c r="F10">
        <v>1</v>
      </c>
      <c r="G10" s="7">
        <f>Table112[[#This Row],[Order Price (Euros)]]*Table112[[#This Row],[Order Quantity]]</f>
        <v>0</v>
      </c>
      <c r="J10" t="s">
        <v>47</v>
      </c>
      <c r="L10" t="s">
        <v>155</v>
      </c>
      <c r="M10" s="7">
        <f>SUM(M4:M8)</f>
        <v>658.15043426388695</v>
      </c>
      <c r="N10" s="7">
        <f t="shared" ref="N10:O10" si="0">SUM(N4:N8)</f>
        <v>879.25000000000011</v>
      </c>
      <c r="O10" s="7">
        <f t="shared" si="0"/>
        <v>879.25000000000011</v>
      </c>
    </row>
    <row r="11" spans="2:15" x14ac:dyDescent="0.3">
      <c r="D11" t="str">
        <f>Table112[[#This Row],[Part Nr]]</f>
        <v>T.00.08</v>
      </c>
      <c r="E11" t="str">
        <f>Table112[[#This Row],[Part Name]]</f>
        <v>HDMI kabel</v>
      </c>
      <c r="F11">
        <v>1</v>
      </c>
      <c r="G11" s="7">
        <f>Table112[[#This Row],[Order Price (Euros)]]*Table112[[#This Row],[Order Quantity]]</f>
        <v>0</v>
      </c>
      <c r="J11" t="s">
        <v>47</v>
      </c>
      <c r="L11" t="s">
        <v>156</v>
      </c>
      <c r="M11" s="7">
        <v>0</v>
      </c>
      <c r="N11" s="7">
        <f>Table13[[#This Row],[Order Price (Euro)]]/$B$4</f>
        <v>67.97</v>
      </c>
      <c r="O11" s="7">
        <f>SUM(Info!C4:'Info'!C10)</f>
        <v>67.97</v>
      </c>
    </row>
    <row r="12" spans="2:15" x14ac:dyDescent="0.3">
      <c r="D12" t="str">
        <f>Table112[[#This Row],[Part Nr]]</f>
        <v>T.00.09</v>
      </c>
      <c r="E12" t="str">
        <f>Table112[[#This Row],[Part Name]]</f>
        <v>screwdriver set</v>
      </c>
      <c r="F12">
        <v>1</v>
      </c>
      <c r="G12" s="7">
        <f>Table112[[#This Row],[Order Price (Euros)]]*Table112[[#This Row],[Order Quantity]]</f>
        <v>0</v>
      </c>
      <c r="J12" t="s">
        <v>47</v>
      </c>
      <c r="L12" t="s">
        <v>157</v>
      </c>
      <c r="M12" s="7">
        <v>0</v>
      </c>
      <c r="N12" s="7" cm="1">
        <f t="array" ref="N12">Table13[[#This Row],[Order Price (Euro)]]/Table17[Nr of Robots]</f>
        <v>20</v>
      </c>
      <c r="O12" s="2">
        <v>20</v>
      </c>
    </row>
    <row r="13" spans="2:15" x14ac:dyDescent="0.3">
      <c r="D13" t="str">
        <f>Table112[[#This Row],[Part Nr]]</f>
        <v>T.00.10</v>
      </c>
      <c r="E13" t="str">
        <f>Table112[[#This Row],[Part Name]]</f>
        <v>Solder Iron</v>
      </c>
      <c r="F13">
        <v>1</v>
      </c>
      <c r="G13" s="7">
        <f>Table112[[#This Row],[Order Price (Euros)]]*Table112[[#This Row],[Order Quantity]]</f>
        <v>0</v>
      </c>
      <c r="J13" t="s">
        <v>47</v>
      </c>
      <c r="L13" s="10" t="s">
        <v>154</v>
      </c>
      <c r="M13" s="11"/>
      <c r="N13" s="11"/>
      <c r="O13" s="10"/>
    </row>
    <row r="14" spans="2:15" x14ac:dyDescent="0.3">
      <c r="D14" t="str">
        <f>Table112[[#This Row],[Part Nr]]</f>
        <v>T.00.11</v>
      </c>
      <c r="E14" t="str">
        <f>Table112[[#This Row],[Part Name]]</f>
        <v>Soldering tin &amp; Wick</v>
      </c>
      <c r="F14">
        <v>1</v>
      </c>
      <c r="G14" s="7">
        <f>Table112[[#This Row],[Order Price (Euros)]]*Table112[[#This Row],[Order Quantity]]</f>
        <v>0</v>
      </c>
      <c r="J14" t="s">
        <v>47</v>
      </c>
      <c r="L14" t="s">
        <v>154</v>
      </c>
      <c r="M14" s="7">
        <f t="shared" ref="M14:N14" si="1">SUM(M10:M12)</f>
        <v>658.15043426388695</v>
      </c>
      <c r="N14" s="7">
        <f t="shared" si="1"/>
        <v>967.22000000000014</v>
      </c>
      <c r="O14" s="7">
        <f>SUM(O10:O12)</f>
        <v>967.22000000000014</v>
      </c>
    </row>
    <row r="15" spans="2:15" x14ac:dyDescent="0.3">
      <c r="J15" t="s">
        <v>47</v>
      </c>
      <c r="M15" s="7"/>
      <c r="N15" s="7"/>
    </row>
    <row r="16" spans="2:15" x14ac:dyDescent="0.3">
      <c r="J16" t="s">
        <v>47</v>
      </c>
      <c r="M16" s="7"/>
      <c r="N16" s="7"/>
    </row>
    <row r="17" spans="4:14" x14ac:dyDescent="0.3">
      <c r="D17" s="1" t="s">
        <v>115</v>
      </c>
      <c r="E17" s="1"/>
      <c r="F17" s="1"/>
      <c r="G17" s="1"/>
      <c r="H17" s="1"/>
      <c r="I17" s="1"/>
      <c r="J17" t="s">
        <v>47</v>
      </c>
      <c r="M17" s="7"/>
      <c r="N17" s="7">
        <f>M24-N14</f>
        <v>0</v>
      </c>
    </row>
    <row r="18" spans="4:14" x14ac:dyDescent="0.3">
      <c r="D18" t="s">
        <v>0</v>
      </c>
      <c r="E18" t="s">
        <v>1</v>
      </c>
      <c r="F18" t="s">
        <v>21</v>
      </c>
      <c r="G18" t="s">
        <v>112</v>
      </c>
      <c r="H18" t="s">
        <v>113</v>
      </c>
      <c r="I18" t="s">
        <v>4</v>
      </c>
      <c r="J18" t="s">
        <v>47</v>
      </c>
    </row>
    <row r="19" spans="4:14" x14ac:dyDescent="0.3">
      <c r="D19" t="str">
        <f>Electronics!B4</f>
        <v>E.00.01</v>
      </c>
      <c r="E19" t="str">
        <f>Electronics!C4</f>
        <v>Arduino Wifi Rev 2.0</v>
      </c>
      <c r="F19">
        <f>ROUNDUP(Electronics!F4*$B$4/Electronics!E4,0)</f>
        <v>1</v>
      </c>
      <c r="G19" s="7">
        <f>Electronics!D4*Table18[[#This Row],[Order Quantity]]</f>
        <v>54.95</v>
      </c>
      <c r="H19" t="str">
        <f>Electronics!K4</f>
        <v>KiwiElectronics</v>
      </c>
      <c r="I19" t="str">
        <f>Electronics!L4</f>
        <v>https://www.kiwi-electronics.com/nl/arduino-uno-wifi-rev2-4046?search=arduino%20wifi%20rev</v>
      </c>
      <c r="J19" t="s">
        <v>47</v>
      </c>
    </row>
    <row r="20" spans="4:14" x14ac:dyDescent="0.3">
      <c r="D20" t="str">
        <f>Electronics!B5</f>
        <v>E.00.02</v>
      </c>
      <c r="E20" t="str">
        <f>Electronics!C5</f>
        <v>Miuzei Servo Motor MF90</v>
      </c>
      <c r="F20">
        <f>ROUNDUP(Electronics!F5*$B$4/Electronics!E5,0)</f>
        <v>1</v>
      </c>
      <c r="G20" s="7">
        <f>Electronics!D5*Table18[[#This Row],[Order Quantity]]</f>
        <v>26.99</v>
      </c>
      <c r="H20" t="str">
        <f>Electronics!K5</f>
        <v>Amazon</v>
      </c>
      <c r="I20" t="str">
        <f>Electronics!L5</f>
        <v>https://www.amazon.nl/-/en/Miuzei-Degree-Arduino-Building-Airplane/dp/B0D7ZW6LSW/ref=sr_1_1?crid=2N57DUX6R0AHI&amp;dib=eyJ2IjoiMSJ9.h3ZwD21amosGoaWQ_NC1EQfJMHC-RwfjVwdsn5_5LqiNdQqiHE5rlgvsahqeUoDEnawGrLsTTk-LnbpFpg3KZU1SrjIwhZYHrN7LbXJleG5Hj5BJMar8oNTrbTKj4xdJBNgxemSK_jjhXLuFXFfdoo5hQ5zKiQy79GYIRiJyIiSUjTQD8OS-G6qYmyytlPD4fnEQMKY5ySxgHITmuamMV79OkmPb4wxHsDiHEAhKxquUKMfj5s2fdIQbSbUUCBoiAATgtA6SZHCF4b2bGDA9x2QRguUq8jIrrvKY1SF_P5o.WC0JzjZez5sdxVZBji3s2b4Oqr_I8LFeuWWChTFK4tY&amp;dib_tag=se&amp;keywords=Miuzei%2BServomotor&amp;qid=1745937814&amp;sprefix=miuzei%2Bservomotor%2Caps%2C75&amp;sr=8-1&amp;th=1</v>
      </c>
      <c r="J20" t="s">
        <v>47</v>
      </c>
    </row>
    <row r="21" spans="4:14" x14ac:dyDescent="0.3">
      <c r="D21" t="str">
        <f>Electronics!B6</f>
        <v>E.00.03</v>
      </c>
      <c r="E21" t="str">
        <f>Electronics!C6</f>
        <v>Miuzei Servo Motor MS24 20Kg</v>
      </c>
      <c r="F21">
        <f>ROUNDUP(Electronics!F6*$B$4/Electronics!E6,0)</f>
        <v>1</v>
      </c>
      <c r="G21" s="7">
        <f>Electronics!D6*Table18[[#This Row],[Order Quantity]]</f>
        <v>25.99</v>
      </c>
      <c r="H21" t="str">
        <f>Electronics!K6</f>
        <v>Amazon</v>
      </c>
      <c r="I21" t="str">
        <f>Electronics!L6</f>
        <v>https://www.amazon.com/Miuzei-Waterproof-Steering-Digital-Control/dp/B0CQX825P1?th=1</v>
      </c>
      <c r="J21" t="s">
        <v>47</v>
      </c>
    </row>
    <row r="22" spans="4:14" x14ac:dyDescent="0.3">
      <c r="D22" t="str">
        <f>Electronics!B7</f>
        <v>E.00.04</v>
      </c>
      <c r="E22" t="str">
        <f>Electronics!C7</f>
        <v>Nidec DC motor MG16B-060-AA-00</v>
      </c>
      <c r="F22">
        <f>ROUNDUP(Electronics!F7*$B$4/Electronics!E7,0)</f>
        <v>1</v>
      </c>
      <c r="G22" s="7">
        <f>Electronics!D7*Table18[[#This Row],[Order Quantity]]</f>
        <v>180.44</v>
      </c>
      <c r="H22" t="str">
        <f>Electronics!K7</f>
        <v>Digikey</v>
      </c>
      <c r="I22" t="str">
        <f>Electronics!L7</f>
        <v>https://www.digikey.be/nl/products/detail/nidec-components-corporation/MG16B-060-AA-00/6469518?srsltid=AfmBOop3JtNbkP0gWt3gxXrv8EAlX3SJ8MeTh294FCDfYUXS5y4JpA2X</v>
      </c>
      <c r="J22" t="s">
        <v>47</v>
      </c>
    </row>
    <row r="23" spans="4:14" x14ac:dyDescent="0.3">
      <c r="D23" t="str">
        <f>Electronics!B8</f>
        <v>E.00.05</v>
      </c>
      <c r="E23" t="str">
        <f>Electronics!C8</f>
        <v>Raspberry Pi 5 - 16GB</v>
      </c>
      <c r="F23">
        <f>ROUNDUP(Electronics!F8*$B$4/Electronics!E8,0)</f>
        <v>1</v>
      </c>
      <c r="G23" s="7">
        <f>Electronics!D8*Table18[[#This Row],[Order Quantity]]</f>
        <v>135.51</v>
      </c>
      <c r="H23" t="str">
        <f>Electronics!K8</f>
        <v>KiwiElectronics</v>
      </c>
      <c r="I23" t="str">
        <f>Electronics!L8</f>
        <v>https://www.kiwi-electronics.com/nl/raspberry-pi-5-16gb-20255?search=raspberry</v>
      </c>
      <c r="J23" t="s">
        <v>47</v>
      </c>
      <c r="L23" t="s">
        <v>223</v>
      </c>
      <c r="M23" t="s">
        <v>225</v>
      </c>
      <c r="N23" t="s">
        <v>224</v>
      </c>
    </row>
    <row r="24" spans="4:14" x14ac:dyDescent="0.3">
      <c r="D24" t="str">
        <f>Electronics!B9</f>
        <v>E.00.06</v>
      </c>
      <c r="E24" t="str">
        <f>Electronics!C9</f>
        <v>Raspberry Pi Active Cooler</v>
      </c>
      <c r="F24">
        <f>ROUNDUP(Electronics!F9*$B$4/Electronics!E9,0)</f>
        <v>1</v>
      </c>
      <c r="G24" s="7">
        <f>Electronics!D9*Table18[[#This Row],[Order Quantity]]</f>
        <v>5.92</v>
      </c>
      <c r="H24" t="str">
        <f>Electronics!K9</f>
        <v>KiwiElectronics</v>
      </c>
      <c r="I24" t="str">
        <f>Electronics!L9</f>
        <v>https://www.kiwi-electronics.com/en/raspberry-pi-active-cooler-11585?search=active%20cooler</v>
      </c>
      <c r="J24" t="s">
        <v>47</v>
      </c>
      <c r="L24">
        <v>1</v>
      </c>
      <c r="M24" s="7">
        <f>M38+145.24</f>
        <v>967.22</v>
      </c>
      <c r="N24" s="7">
        <f>Table6[[#This Row],[Cost/robot locomotion]]-167.57-145.24</f>
        <v>654.41000000000008</v>
      </c>
    </row>
    <row r="25" spans="4:14" x14ac:dyDescent="0.3">
      <c r="D25" t="str">
        <f>Electronics!B10</f>
        <v>E.00.07</v>
      </c>
      <c r="E25" t="str">
        <f>Electronics!C10</f>
        <v>32GB microSD</v>
      </c>
      <c r="F25">
        <f>ROUNDUP(Electronics!F10*$B$4/Electronics!E10,0)</f>
        <v>1</v>
      </c>
      <c r="G25" s="7">
        <f>Electronics!D10*Table18[[#This Row],[Order Quantity]]</f>
        <v>11.48</v>
      </c>
      <c r="H25" t="str">
        <f>Electronics!K10</f>
        <v>KiwiElectronics</v>
      </c>
      <c r="I25" t="str">
        <f>Electronics!L10</f>
        <v>https://www.kiwi-electronics.com/en/transcend-32gb-microsd-premium-class-10-uhs-i-plus-adapter-303?search=32GB%20SD</v>
      </c>
      <c r="J25" t="s">
        <v>47</v>
      </c>
      <c r="L25">
        <v>2</v>
      </c>
      <c r="M25" s="7">
        <f t="shared" ref="M25:M30" si="2">M39+145.24</f>
        <v>845.91500000000008</v>
      </c>
      <c r="N25" s="7">
        <f>Table6[[#This Row],[Cost/robot locomotion]]-167.57-145.24</f>
        <v>533.10500000000002</v>
      </c>
    </row>
    <row r="26" spans="4:14" x14ac:dyDescent="0.3">
      <c r="D26" t="str">
        <f>Electronics!B11</f>
        <v>E.00.08</v>
      </c>
      <c r="E26" t="str">
        <f>Electronics!C11</f>
        <v>Raspberry Pi Camera 3 Wide</v>
      </c>
      <c r="F26">
        <f>ROUNDUP(Electronics!F11*$B$4/Electronics!E11,0)</f>
        <v>1</v>
      </c>
      <c r="G26" s="7">
        <f>Electronics!D11*Table18[[#This Row],[Order Quantity]]</f>
        <v>40.520000000000003</v>
      </c>
      <c r="H26" t="str">
        <f>Electronics!K11</f>
        <v>KiwiElectronics</v>
      </c>
      <c r="I26" t="str">
        <f>Electronics!L11</f>
        <v>https://www.kiwi-electronics.com/en/raspberry-pi-camera-3-wide-11241?search=pi%20camera%203%20wide</v>
      </c>
      <c r="J26" t="s">
        <v>47</v>
      </c>
      <c r="L26">
        <v>5</v>
      </c>
      <c r="M26" s="7">
        <f t="shared" si="2"/>
        <v>743.28399999999999</v>
      </c>
      <c r="N26" s="7">
        <f>Table6[[#This Row],[Cost/robot locomotion]]-167.57-145.24</f>
        <v>430.47399999999993</v>
      </c>
    </row>
    <row r="27" spans="4:14" x14ac:dyDescent="0.3">
      <c r="D27" t="str">
        <f>Electronics!B12</f>
        <v>E.00.09</v>
      </c>
      <c r="E27" t="str">
        <f>Electronics!C12</f>
        <v>Raspberry Pi Camera Kabel</v>
      </c>
      <c r="F27">
        <f>ROUNDUP(Electronics!F12*$B$4/Electronics!E12,0)</f>
        <v>1</v>
      </c>
      <c r="G27" s="7">
        <f>Electronics!D12*Table18[[#This Row],[Order Quantity]]</f>
        <v>1.2</v>
      </c>
      <c r="H27" t="str">
        <f>Electronics!K12</f>
        <v>KiwiElectronics</v>
      </c>
      <c r="I27" t="str">
        <f>Electronics!L12</f>
        <v>https://www.kiwi-electronics.com/en/raspberry-pi-camera-cable-standard-mini-200mm-11588?search=pi%20camera%20cable</v>
      </c>
      <c r="J27" t="s">
        <v>47</v>
      </c>
      <c r="L27">
        <v>10</v>
      </c>
      <c r="M27" s="7">
        <f t="shared" si="2"/>
        <v>719.32600000000002</v>
      </c>
      <c r="N27" s="7">
        <f>Table6[[#This Row],[Cost/robot locomotion]]-167.57-145.24</f>
        <v>406.51600000000008</v>
      </c>
    </row>
    <row r="28" spans="4:14" x14ac:dyDescent="0.3">
      <c r="D28" t="str">
        <f>Electronics!B13</f>
        <v>E.00.10</v>
      </c>
      <c r="E28" t="str">
        <f>Electronics!C13</f>
        <v>Microphone MAX4466 Adafruit</v>
      </c>
      <c r="F28">
        <f>ROUNDUP(Electronics!F13*$B$4/Electronics!E13,0)</f>
        <v>2</v>
      </c>
      <c r="G28" s="7">
        <f>Electronics!D13*Table18[[#This Row],[Order Quantity]]</f>
        <v>16.440000000000001</v>
      </c>
      <c r="H28" t="str">
        <f>Electronics!K13</f>
        <v>KiwiElectronics</v>
      </c>
      <c r="I28" t="str">
        <f>Electronics!L13</f>
        <v>https://www.kiwi-electronics.com/en/electret-microphone-amplifier-max4466-with-adjustable-gain-806?search=microphone</v>
      </c>
      <c r="J28" t="s">
        <v>47</v>
      </c>
      <c r="L28">
        <v>20</v>
      </c>
      <c r="M28" s="7">
        <f t="shared" si="2"/>
        <v>706.56849999999997</v>
      </c>
      <c r="N28" s="7">
        <f>Table6[[#This Row],[Cost/robot locomotion]]-167.57-145.24</f>
        <v>393.75849999999991</v>
      </c>
    </row>
    <row r="29" spans="4:14" x14ac:dyDescent="0.3">
      <c r="D29" t="str">
        <f>Electronics!B14</f>
        <v>E.00.11</v>
      </c>
      <c r="E29" t="str">
        <f>Electronics!C14</f>
        <v>Dc-Dc 12V / 24V Naar 5V 5A Buck Converter</v>
      </c>
      <c r="F29">
        <f>ROUNDUP(Electronics!F14*$B$4/Electronics!E14,0)</f>
        <v>3</v>
      </c>
      <c r="G29" s="7">
        <f>Electronics!D14*Table18[[#This Row],[Order Quantity]]</f>
        <v>29.73</v>
      </c>
      <c r="H29" t="str">
        <f>Electronics!K14</f>
        <v>Amazon</v>
      </c>
      <c r="I29" t="str">
        <f>Electronics!L14</f>
        <v>https://www.amazon.nl/-/en/Dc-DC-Converter-Power-Supply-Module/dp/B0C59NHZKK</v>
      </c>
      <c r="J29" t="s">
        <v>47</v>
      </c>
      <c r="L29">
        <v>50</v>
      </c>
      <c r="M29" s="7">
        <f t="shared" si="2"/>
        <v>699.38520000000017</v>
      </c>
      <c r="N29" s="7">
        <f>Table6[[#This Row],[Cost/robot locomotion]]-167.57-145.24</f>
        <v>386.57520000000022</v>
      </c>
    </row>
    <row r="30" spans="4:14" x14ac:dyDescent="0.3">
      <c r="D30" t="str">
        <f>Electronics!B15</f>
        <v>E.00.12</v>
      </c>
      <c r="E30" t="str">
        <f>Electronics!C15</f>
        <v>INIU Power Bank, 100 W 25000mAh Powerbank</v>
      </c>
      <c r="F30">
        <f>ROUNDUP(Electronics!F15*$B$4/Electronics!E15,0)</f>
        <v>1</v>
      </c>
      <c r="G30" s="7">
        <f>Electronics!D15*Table18[[#This Row],[Order Quantity]]</f>
        <v>59.99</v>
      </c>
      <c r="H30" t="str">
        <f>Electronics!K15</f>
        <v>Amazon</v>
      </c>
      <c r="I30" t="str">
        <f>Electronics!L15</f>
        <v xml:space="preserve">https://www.amazon.nl/-/en/25000mAh-Powerbank-External-Battery-Compatible/dp/B0B7438Q2Z/ref=sr_1_2_pp?adgrpid=163513083013&amp;dib=eyJ2IjoiMSJ9.-KP3qJ0B9dnTeS33J-atc8-qeAzevMbZ4NZHVgfjl2-XsAF8SPCDb0A-C5KC8JqrWg_r1le0QnS-ZodCB5QX16IAeTbTCq0mzrid5zCs3BEnqT0utjo0j8XMWTpt51xEjEUzkarlAbDIM0cGFGCeqGixiIOataydcPSxUi1gSGekTN-NXsqHZFLFg5ep1i47-496hlv2Vz4HGI9X11IzkeUkwrCeQd_VzzWCIta1TW3LWA9WRhSRn8SMdxsVCkriZ71k2lDg3An5FgS7S4szrsU7yGUcnwWlYC8eWp2piWM.eoi07SCvNxaPIWi_V3Qmpu9MRmwp4haQyzS9Dzd67hs&amp;dib_tag=se&amp;hvadid=702947506933&amp;hvdev=c&amp;hvlocphy=1010704&amp;hvnetw=g&amp;hvqmt=b&amp;hvrand=13804232305142098093&amp;hvtargid=kwd-2081822062451&amp;hydadcr=22973_2219007&amp;keywords=iniu+powerbank+100w&amp;mcid=0191acb76f6e3be0ac63f30aeb77c659&amp;qid=1746000652&amp;sr=8-2 </v>
      </c>
      <c r="J30" t="s">
        <v>47</v>
      </c>
      <c r="L30">
        <v>100</v>
      </c>
      <c r="M30" s="7">
        <f t="shared" si="2"/>
        <v>697.08890000000019</v>
      </c>
      <c r="N30" s="7">
        <f>Table6[[#This Row],[Cost/robot locomotion]]-167.57-145.24</f>
        <v>384.27890000000025</v>
      </c>
    </row>
    <row r="31" spans="4:14" x14ac:dyDescent="0.3">
      <c r="D31" t="str">
        <f>Electronics!B16</f>
        <v>E.00.13</v>
      </c>
      <c r="E31" t="str">
        <f>Electronics!C16</f>
        <v>USB C trigger board</v>
      </c>
      <c r="F31">
        <f>ROUNDUP(Electronics!F16*$B$4/Electronics!E16,0)</f>
        <v>1</v>
      </c>
      <c r="G31" s="7">
        <f>Electronics!D16*Table18[[#This Row],[Order Quantity]]</f>
        <v>10.49</v>
      </c>
      <c r="H31" t="str">
        <f>Electronics!K16</f>
        <v>Amazon</v>
      </c>
      <c r="I31" t="str">
        <f>Electronics!L16</f>
        <v>https://www.amazon.nl/Hailege-opladen-Trigger-ondersteuning-spanning/dp/B0CJY25PTB?source=ps-sl-shoppingads-lpcontext&amp;ref_=fplfs&amp;psc=1&amp;smid=A1A7E5ILEFA1R3&amp;gQT=1</v>
      </c>
      <c r="J31" t="s">
        <v>47</v>
      </c>
    </row>
    <row r="32" spans="4:14" x14ac:dyDescent="0.3">
      <c r="D32" t="str">
        <f>Electronics!B17</f>
        <v>E.00.14</v>
      </c>
      <c r="E32" t="str">
        <f>Electronics!C17</f>
        <v>Motordriver HG7881</v>
      </c>
      <c r="F32">
        <f>ROUNDUP(Electronics!F17*$B$4/Electronics!E17,0)</f>
        <v>1</v>
      </c>
      <c r="G32" s="7">
        <f>Electronics!D17*Table18[[#This Row],[Order Quantity]]</f>
        <v>8.99</v>
      </c>
      <c r="H32" t="str">
        <f>Electronics!K17</f>
        <v>Amazon</v>
      </c>
      <c r="I32" t="str">
        <f>Electronics!L17</f>
        <v>https://www.amazon.nl/-/en/DollaTek-HG7881-Driver-Controller-Arduino/dp/B07DK5BBSL</v>
      </c>
      <c r="J32" t="s">
        <v>47</v>
      </c>
    </row>
    <row r="33" spans="4:13" x14ac:dyDescent="0.3">
      <c r="D33" t="str">
        <f>Electronics!B18</f>
        <v>E.00.15</v>
      </c>
      <c r="E33" t="str">
        <f>Electronics!C18</f>
        <v>adafruit motorshield v2</v>
      </c>
      <c r="F33">
        <f>ROUNDUP(Electronics!F18*$B$4/Electronics!E18,0)</f>
        <v>1</v>
      </c>
      <c r="G33" s="7">
        <f>Electronics!D18*Table18[[#This Row],[Order Quantity]]</f>
        <v>22.98</v>
      </c>
      <c r="H33" t="str">
        <f>Electronics!K18</f>
        <v>KiwiElectronics</v>
      </c>
      <c r="I33" t="str">
        <f>Electronics!L18</f>
        <v>https://www.kiwi-electronics.com/en/adafruit-motor-stepper-servo-shield-for-arduino-v2-v2-3-kit-1670?srsltid=AfmBOoorI18ILPpw8IuBr6UDzmeFMQSEBpKePMoOD7WxnqLEIpFRsURW</v>
      </c>
      <c r="J33" t="s">
        <v>47</v>
      </c>
    </row>
    <row r="34" spans="4:13" x14ac:dyDescent="0.3">
      <c r="D34" s="8"/>
      <c r="E34" s="8"/>
      <c r="F34" s="8"/>
      <c r="G34" s="9"/>
      <c r="H34" s="8"/>
      <c r="I34" s="8"/>
      <c r="J34" t="s">
        <v>47</v>
      </c>
    </row>
    <row r="35" spans="4:13" x14ac:dyDescent="0.3">
      <c r="D35" t="s">
        <v>136</v>
      </c>
      <c r="E35" t="s">
        <v>19</v>
      </c>
      <c r="F35">
        <f>ROUNDUP(Cables!F4*$B$4/Cables!E4,0)</f>
        <v>1</v>
      </c>
      <c r="G35" s="7">
        <f>Cables!D4*Table18[[#This Row],[Order Quantity]]</f>
        <v>2.5</v>
      </c>
      <c r="H35" t="s">
        <v>8</v>
      </c>
      <c r="I35" t="s">
        <v>99</v>
      </c>
      <c r="J35" t="s">
        <v>47</v>
      </c>
    </row>
    <row r="36" spans="4:13" x14ac:dyDescent="0.3">
      <c r="D36" t="s">
        <v>137</v>
      </c>
      <c r="E36" t="s">
        <v>57</v>
      </c>
      <c r="F36">
        <f>ROUNDUP(Cables!F5*$B$4/Cables!E5,0)</f>
        <v>1</v>
      </c>
      <c r="G36" s="7">
        <f>Cables!D5*Table18[[#This Row],[Order Quantity]]</f>
        <v>4.22</v>
      </c>
      <c r="H36" t="s">
        <v>8</v>
      </c>
      <c r="I36" t="s">
        <v>98</v>
      </c>
      <c r="J36" t="s">
        <v>47</v>
      </c>
    </row>
    <row r="37" spans="4:13" x14ac:dyDescent="0.3">
      <c r="D37" s="8"/>
      <c r="E37" s="8"/>
      <c r="F37" s="8"/>
      <c r="G37" s="9"/>
      <c r="H37" s="8"/>
      <c r="I37" s="8"/>
      <c r="J37" t="s">
        <v>47</v>
      </c>
    </row>
    <row r="38" spans="4:13" x14ac:dyDescent="0.3">
      <c r="D38" t="s">
        <v>131</v>
      </c>
      <c r="E38" t="s">
        <v>43</v>
      </c>
      <c r="F38">
        <f>ROUNDUP(Extras!F4*$B$4/Extras!E4,0)</f>
        <v>1</v>
      </c>
      <c r="G38" s="7">
        <f>Extras!D4*Table18[[#This Row],[Order Quantity]]</f>
        <v>10</v>
      </c>
      <c r="H38" s="2" t="s">
        <v>41</v>
      </c>
      <c r="I38" s="2" t="s">
        <v>45</v>
      </c>
      <c r="J38" t="s">
        <v>47</v>
      </c>
      <c r="M38" s="16">
        <v>821.98</v>
      </c>
    </row>
    <row r="39" spans="4:13" x14ac:dyDescent="0.3">
      <c r="D39" t="s">
        <v>132</v>
      </c>
      <c r="E39" t="s">
        <v>44</v>
      </c>
      <c r="F39">
        <f>ROUNDUP(Extras!F5*$B$4/Extras!E5,0)</f>
        <v>1</v>
      </c>
      <c r="G39" s="7">
        <f>Extras!D5*Table18[[#This Row],[Order Quantity]]</f>
        <v>10</v>
      </c>
      <c r="H39" s="2" t="s">
        <v>41</v>
      </c>
      <c r="I39" s="2" t="s">
        <v>46</v>
      </c>
      <c r="J39" t="s">
        <v>47</v>
      </c>
      <c r="M39" s="17">
        <v>700.67500000000007</v>
      </c>
    </row>
    <row r="40" spans="4:13" x14ac:dyDescent="0.3">
      <c r="D40" t="s">
        <v>133</v>
      </c>
      <c r="E40" t="s">
        <v>59</v>
      </c>
      <c r="F40">
        <f>ROUNDUP(Extras!F6*$B$4/Extras!E6,0)</f>
        <v>1</v>
      </c>
      <c r="G40" s="7">
        <f>Extras!D6*Table18[[#This Row],[Order Quantity]]</f>
        <v>5.74</v>
      </c>
      <c r="H40" s="2" t="s">
        <v>41</v>
      </c>
      <c r="I40" s="2" t="s">
        <v>101</v>
      </c>
      <c r="J40" t="s">
        <v>47</v>
      </c>
      <c r="M40" s="16">
        <v>598.04399999999998</v>
      </c>
    </row>
    <row r="41" spans="4:13" x14ac:dyDescent="0.3">
      <c r="D41" t="s">
        <v>134</v>
      </c>
      <c r="E41" t="s">
        <v>58</v>
      </c>
      <c r="F41">
        <f>ROUNDUP(Extras!F7*$B$4/Extras!E7,0)</f>
        <v>1</v>
      </c>
      <c r="G41" s="7">
        <f>Extras!D7*Table18[[#This Row],[Order Quantity]]</f>
        <v>6.64</v>
      </c>
      <c r="H41" s="2" t="s">
        <v>41</v>
      </c>
      <c r="I41" s="2" t="s">
        <v>100</v>
      </c>
      <c r="J41" t="s">
        <v>47</v>
      </c>
      <c r="M41" s="17">
        <v>574.08600000000001</v>
      </c>
    </row>
    <row r="42" spans="4:13" x14ac:dyDescent="0.3">
      <c r="D42" t="s">
        <v>135</v>
      </c>
      <c r="E42" t="s">
        <v>60</v>
      </c>
      <c r="F42">
        <f>ROUNDUP(Extras!F8*$B$4/Extras!E8,0)</f>
        <v>1</v>
      </c>
      <c r="G42" s="7">
        <f>Extras!D8*Table18[[#This Row],[Order Quantity]]</f>
        <v>9.9499999999999993</v>
      </c>
      <c r="H42" s="2" t="s">
        <v>7</v>
      </c>
      <c r="I42" s="5" t="s">
        <v>227</v>
      </c>
      <c r="J42" t="s">
        <v>47</v>
      </c>
      <c r="M42" s="16">
        <v>561.32849999999996</v>
      </c>
    </row>
    <row r="43" spans="4:13" x14ac:dyDescent="0.3">
      <c r="D43" t="s">
        <v>159</v>
      </c>
      <c r="E43" t="s">
        <v>160</v>
      </c>
      <c r="F43">
        <f>ROUNDUP(Extras!F9*$B$4/Extras!E9,0)</f>
        <v>4</v>
      </c>
      <c r="G43" s="7">
        <f>Extras!D9*Table18[[#This Row],[Order Quantity]]</f>
        <v>9.48</v>
      </c>
      <c r="H43" s="2" t="s">
        <v>161</v>
      </c>
      <c r="I43" s="2" t="s">
        <v>162</v>
      </c>
      <c r="J43" t="s">
        <v>47</v>
      </c>
      <c r="M43" s="17">
        <v>554.14520000000016</v>
      </c>
    </row>
    <row r="44" spans="4:13" x14ac:dyDescent="0.3">
      <c r="D44" s="8"/>
      <c r="E44" s="8"/>
      <c r="F44" s="8"/>
      <c r="G44" s="9"/>
      <c r="H44" s="8"/>
      <c r="I44" s="8"/>
      <c r="J44" t="s">
        <v>47</v>
      </c>
      <c r="M44" s="16">
        <v>551.84890000000019</v>
      </c>
    </row>
    <row r="45" spans="4:13" x14ac:dyDescent="0.3">
      <c r="D45" t="s">
        <v>139</v>
      </c>
      <c r="E45" t="str">
        <f>Printing!E34&amp;"-"&amp;Printing!F34</f>
        <v>PLA-Metallic</v>
      </c>
      <c r="F45">
        <f>ROUNDUP(Printing!H34*$B$4,0)</f>
        <v>2</v>
      </c>
      <c r="G45" s="7">
        <f>Printing!G34*Table18[[#This Row],[Order Quantity]]</f>
        <v>56.92</v>
      </c>
      <c r="H45" s="2" t="s">
        <v>9</v>
      </c>
      <c r="I45" t="s">
        <v>147</v>
      </c>
      <c r="J45" t="s">
        <v>47</v>
      </c>
    </row>
    <row r="46" spans="4:13" x14ac:dyDescent="0.3">
      <c r="D46" t="s">
        <v>140</v>
      </c>
      <c r="E46" t="str">
        <f>Printing!E35&amp;"-"&amp;Printing!F35</f>
        <v>PLA-White</v>
      </c>
      <c r="F46">
        <f>ROUNDUP(Printing!H35*$B$4,0)</f>
        <v>1</v>
      </c>
      <c r="G46" s="7">
        <f>Printing!G35*Table18[[#This Row],[Order Quantity]]</f>
        <v>23.38</v>
      </c>
      <c r="H46" s="2" t="s">
        <v>9</v>
      </c>
      <c r="I46" t="s">
        <v>148</v>
      </c>
      <c r="J46" t="s">
        <v>47</v>
      </c>
    </row>
    <row r="47" spans="4:13" x14ac:dyDescent="0.3">
      <c r="D47" t="s">
        <v>141</v>
      </c>
      <c r="E47" t="str">
        <f>Printing!E36&amp;"-"&amp;Printing!F36</f>
        <v>PLA-Color</v>
      </c>
      <c r="F47">
        <f>ROUNDUP(Printing!H36*$B$4,0)</f>
        <v>1</v>
      </c>
      <c r="G47" s="7">
        <f>Printing!G36*Table18[[#This Row],[Order Quantity]]</f>
        <v>23.38</v>
      </c>
      <c r="H47" s="2" t="s">
        <v>9</v>
      </c>
      <c r="I47" t="s">
        <v>148</v>
      </c>
      <c r="J47" t="s">
        <v>47</v>
      </c>
    </row>
    <row r="48" spans="4:13" x14ac:dyDescent="0.3">
      <c r="D48" t="s">
        <v>142</v>
      </c>
      <c r="E48" t="str">
        <f>Printing!E37&amp;"-"&amp;Printing!F37</f>
        <v>TPU-Grey</v>
      </c>
      <c r="F48">
        <f>ROUNDUP(Printing!H37*$B$4,0)</f>
        <v>1</v>
      </c>
      <c r="G48" s="7">
        <f>Printing!G37*Table18[[#This Row],[Order Quantity]]</f>
        <v>40.67</v>
      </c>
      <c r="H48" s="2" t="s">
        <v>9</v>
      </c>
      <c r="I48" t="s">
        <v>149</v>
      </c>
      <c r="J48" t="s">
        <v>47</v>
      </c>
    </row>
    <row r="49" spans="10:10" x14ac:dyDescent="0.3">
      <c r="J49" t="s">
        <v>47</v>
      </c>
    </row>
    <row r="50" spans="10:10" x14ac:dyDescent="0.3">
      <c r="J50" t="s">
        <v>47</v>
      </c>
    </row>
    <row r="51" spans="10:10" x14ac:dyDescent="0.3">
      <c r="J51" t="s">
        <v>47</v>
      </c>
    </row>
    <row r="52" spans="10:10" x14ac:dyDescent="0.3">
      <c r="J52" t="s">
        <v>47</v>
      </c>
    </row>
    <row r="53" spans="10:10" x14ac:dyDescent="0.3">
      <c r="J53" t="s">
        <v>47</v>
      </c>
    </row>
    <row r="54" spans="10:10" x14ac:dyDescent="0.3">
      <c r="J54" t="s">
        <v>47</v>
      </c>
    </row>
    <row r="55" spans="10:10" x14ac:dyDescent="0.3">
      <c r="J55" t="s">
        <v>47</v>
      </c>
    </row>
    <row r="56" spans="10:10" x14ac:dyDescent="0.3">
      <c r="J56" t="s">
        <v>47</v>
      </c>
    </row>
    <row r="57" spans="10:10" x14ac:dyDescent="0.3">
      <c r="J57" t="s">
        <v>47</v>
      </c>
    </row>
    <row r="58" spans="10:10" x14ac:dyDescent="0.3">
      <c r="J58" t="s">
        <v>47</v>
      </c>
    </row>
    <row r="59" spans="10:10" x14ac:dyDescent="0.3">
      <c r="J59" t="s">
        <v>47</v>
      </c>
    </row>
    <row r="60" spans="10:10" x14ac:dyDescent="0.3">
      <c r="J60" t="s">
        <v>47</v>
      </c>
    </row>
    <row r="61" spans="10:10" x14ac:dyDescent="0.3">
      <c r="J61" t="s">
        <v>47</v>
      </c>
    </row>
    <row r="62" spans="10:10" x14ac:dyDescent="0.3">
      <c r="J62" t="s">
        <v>47</v>
      </c>
    </row>
    <row r="63" spans="10:10" x14ac:dyDescent="0.3">
      <c r="J63" t="s">
        <v>47</v>
      </c>
    </row>
    <row r="64" spans="10:10" x14ac:dyDescent="0.3">
      <c r="J64" t="s">
        <v>47</v>
      </c>
    </row>
    <row r="65" spans="10:10" x14ac:dyDescent="0.3">
      <c r="J65" t="s">
        <v>47</v>
      </c>
    </row>
    <row r="66" spans="10:10" x14ac:dyDescent="0.3">
      <c r="J66" t="s">
        <v>47</v>
      </c>
    </row>
    <row r="67" spans="10:10" x14ac:dyDescent="0.3">
      <c r="J67" t="s">
        <v>47</v>
      </c>
    </row>
    <row r="68" spans="10:10" x14ac:dyDescent="0.3">
      <c r="J68" t="s">
        <v>47</v>
      </c>
    </row>
    <row r="69" spans="10:10" x14ac:dyDescent="0.3">
      <c r="J69" t="s">
        <v>47</v>
      </c>
    </row>
    <row r="70" spans="10:10" x14ac:dyDescent="0.3">
      <c r="J70" t="s">
        <v>47</v>
      </c>
    </row>
    <row r="71" spans="10:10" x14ac:dyDescent="0.3">
      <c r="J71" t="s">
        <v>47</v>
      </c>
    </row>
    <row r="72" spans="10:10" x14ac:dyDescent="0.3">
      <c r="J72" t="s">
        <v>47</v>
      </c>
    </row>
    <row r="73" spans="10:10" x14ac:dyDescent="0.3">
      <c r="J73" t="s">
        <v>47</v>
      </c>
    </row>
    <row r="74" spans="10:10" x14ac:dyDescent="0.3">
      <c r="J74" t="s">
        <v>47</v>
      </c>
    </row>
    <row r="75" spans="10:10" x14ac:dyDescent="0.3">
      <c r="J75" t="s">
        <v>47</v>
      </c>
    </row>
    <row r="76" spans="10:10" x14ac:dyDescent="0.3">
      <c r="J76" t="s">
        <v>47</v>
      </c>
    </row>
    <row r="77" spans="10:10" x14ac:dyDescent="0.3">
      <c r="J77" t="s">
        <v>47</v>
      </c>
    </row>
    <row r="78" spans="10:10" x14ac:dyDescent="0.3">
      <c r="J78" t="s">
        <v>47</v>
      </c>
    </row>
    <row r="79" spans="10:10" x14ac:dyDescent="0.3">
      <c r="J79" t="s">
        <v>47</v>
      </c>
    </row>
    <row r="80" spans="10:10" x14ac:dyDescent="0.3">
      <c r="J80" t="s">
        <v>47</v>
      </c>
    </row>
    <row r="81" spans="10:10" x14ac:dyDescent="0.3">
      <c r="J81" t="s">
        <v>47</v>
      </c>
    </row>
    <row r="82" spans="10:10" x14ac:dyDescent="0.3">
      <c r="J82" t="s">
        <v>47</v>
      </c>
    </row>
    <row r="83" spans="10:10" x14ac:dyDescent="0.3">
      <c r="J83" t="s">
        <v>47</v>
      </c>
    </row>
    <row r="84" spans="10:10" x14ac:dyDescent="0.3">
      <c r="J84" t="s">
        <v>47</v>
      </c>
    </row>
    <row r="85" spans="10:10" x14ac:dyDescent="0.3">
      <c r="J85" t="s">
        <v>47</v>
      </c>
    </row>
    <row r="86" spans="10:10" x14ac:dyDescent="0.3">
      <c r="J86" t="s">
        <v>47</v>
      </c>
    </row>
    <row r="87" spans="10:10" x14ac:dyDescent="0.3">
      <c r="J87" t="s">
        <v>47</v>
      </c>
    </row>
    <row r="88" spans="10:10" x14ac:dyDescent="0.3">
      <c r="J88" t="s">
        <v>47</v>
      </c>
    </row>
    <row r="89" spans="10:10" x14ac:dyDescent="0.3">
      <c r="J89" t="s">
        <v>47</v>
      </c>
    </row>
    <row r="90" spans="10:10" x14ac:dyDescent="0.3">
      <c r="J90" t="s">
        <v>47</v>
      </c>
    </row>
    <row r="91" spans="10:10" x14ac:dyDescent="0.3">
      <c r="J91" t="s">
        <v>47</v>
      </c>
    </row>
    <row r="92" spans="10:10" x14ac:dyDescent="0.3">
      <c r="J92" t="s">
        <v>47</v>
      </c>
    </row>
    <row r="93" spans="10:10" x14ac:dyDescent="0.3">
      <c r="J93" t="s">
        <v>47</v>
      </c>
    </row>
    <row r="94" spans="10:10" x14ac:dyDescent="0.3">
      <c r="J94" t="s">
        <v>47</v>
      </c>
    </row>
    <row r="95" spans="10:10" x14ac:dyDescent="0.3">
      <c r="J95" t="s">
        <v>47</v>
      </c>
    </row>
    <row r="96" spans="10:10" x14ac:dyDescent="0.3">
      <c r="J96" t="s">
        <v>47</v>
      </c>
    </row>
    <row r="97" spans="10:10" x14ac:dyDescent="0.3">
      <c r="J97" t="s">
        <v>47</v>
      </c>
    </row>
    <row r="98" spans="10:10" x14ac:dyDescent="0.3">
      <c r="J98" t="s">
        <v>47</v>
      </c>
    </row>
    <row r="99" spans="10:10" x14ac:dyDescent="0.3">
      <c r="J99" t="s">
        <v>47</v>
      </c>
    </row>
    <row r="100" spans="10:10" x14ac:dyDescent="0.3">
      <c r="J100" t="s">
        <v>47</v>
      </c>
    </row>
    <row r="101" spans="10:10" x14ac:dyDescent="0.3">
      <c r="J101" t="s">
        <v>47</v>
      </c>
    </row>
    <row r="102" spans="10:10" x14ac:dyDescent="0.3">
      <c r="J102" t="s">
        <v>47</v>
      </c>
    </row>
    <row r="103" spans="10:10" x14ac:dyDescent="0.3">
      <c r="J103" t="s">
        <v>47</v>
      </c>
    </row>
    <row r="104" spans="10:10" x14ac:dyDescent="0.3">
      <c r="J104" t="s">
        <v>47</v>
      </c>
    </row>
    <row r="105" spans="10:10" x14ac:dyDescent="0.3">
      <c r="J105" t="s">
        <v>47</v>
      </c>
    </row>
    <row r="106" spans="10:10" x14ac:dyDescent="0.3">
      <c r="J106" t="s">
        <v>47</v>
      </c>
    </row>
    <row r="107" spans="10:10" x14ac:dyDescent="0.3">
      <c r="J107" t="s">
        <v>47</v>
      </c>
    </row>
    <row r="108" spans="10:10" x14ac:dyDescent="0.3">
      <c r="J108" t="s">
        <v>47</v>
      </c>
    </row>
    <row r="109" spans="10:10" x14ac:dyDescent="0.3">
      <c r="J109" t="s">
        <v>47</v>
      </c>
    </row>
    <row r="110" spans="10:10" x14ac:dyDescent="0.3">
      <c r="J110" t="s">
        <v>47</v>
      </c>
    </row>
    <row r="111" spans="10:10" x14ac:dyDescent="0.3">
      <c r="J111" t="s">
        <v>47</v>
      </c>
    </row>
    <row r="112" spans="10:10" x14ac:dyDescent="0.3">
      <c r="J112" t="s">
        <v>47</v>
      </c>
    </row>
    <row r="113" spans="10:10" x14ac:dyDescent="0.3">
      <c r="J113" t="s">
        <v>47</v>
      </c>
    </row>
    <row r="114" spans="10:10" x14ac:dyDescent="0.3">
      <c r="J114" t="s">
        <v>47</v>
      </c>
    </row>
    <row r="115" spans="10:10" x14ac:dyDescent="0.3">
      <c r="J115" t="s">
        <v>47</v>
      </c>
    </row>
    <row r="116" spans="10:10" x14ac:dyDescent="0.3">
      <c r="J116" t="s">
        <v>47</v>
      </c>
    </row>
    <row r="117" spans="10:10" x14ac:dyDescent="0.3">
      <c r="J117" t="s">
        <v>47</v>
      </c>
    </row>
    <row r="118" spans="10:10" x14ac:dyDescent="0.3">
      <c r="J118" t="s">
        <v>47</v>
      </c>
    </row>
    <row r="119" spans="10:10" x14ac:dyDescent="0.3">
      <c r="J119" t="s">
        <v>47</v>
      </c>
    </row>
    <row r="120" spans="10:10" x14ac:dyDescent="0.3">
      <c r="J120" t="s">
        <v>47</v>
      </c>
    </row>
    <row r="121" spans="10:10" x14ac:dyDescent="0.3">
      <c r="J121" t="s">
        <v>47</v>
      </c>
    </row>
    <row r="122" spans="10:10" x14ac:dyDescent="0.3">
      <c r="J122" t="s">
        <v>47</v>
      </c>
    </row>
    <row r="123" spans="10:10" x14ac:dyDescent="0.3">
      <c r="J123" t="s">
        <v>47</v>
      </c>
    </row>
    <row r="124" spans="10:10" x14ac:dyDescent="0.3">
      <c r="J124" t="s">
        <v>47</v>
      </c>
    </row>
    <row r="125" spans="10:10" x14ac:dyDescent="0.3">
      <c r="J125" t="s">
        <v>47</v>
      </c>
    </row>
    <row r="126" spans="10:10" x14ac:dyDescent="0.3">
      <c r="J126" t="s">
        <v>47</v>
      </c>
    </row>
    <row r="127" spans="10:10" x14ac:dyDescent="0.3">
      <c r="J127" t="s">
        <v>47</v>
      </c>
    </row>
    <row r="128" spans="10:10" x14ac:dyDescent="0.3">
      <c r="J128" t="s">
        <v>47</v>
      </c>
    </row>
    <row r="129" spans="10:10" x14ac:dyDescent="0.3">
      <c r="J129" t="s">
        <v>47</v>
      </c>
    </row>
    <row r="130" spans="10:10" x14ac:dyDescent="0.3">
      <c r="J130" t="s">
        <v>47</v>
      </c>
    </row>
    <row r="131" spans="10:10" x14ac:dyDescent="0.3">
      <c r="J131" t="s">
        <v>47</v>
      </c>
    </row>
    <row r="132" spans="10:10" x14ac:dyDescent="0.3">
      <c r="J132" t="s">
        <v>47</v>
      </c>
    </row>
    <row r="133" spans="10:10" x14ac:dyDescent="0.3">
      <c r="J133" t="s">
        <v>47</v>
      </c>
    </row>
    <row r="134" spans="10:10" x14ac:dyDescent="0.3">
      <c r="J134" t="s">
        <v>47</v>
      </c>
    </row>
    <row r="135" spans="10:10" x14ac:dyDescent="0.3">
      <c r="J135" t="s">
        <v>47</v>
      </c>
    </row>
    <row r="136" spans="10:10" x14ac:dyDescent="0.3">
      <c r="J136" t="s">
        <v>47</v>
      </c>
    </row>
    <row r="137" spans="10:10" x14ac:dyDescent="0.3">
      <c r="J137" t="s">
        <v>47</v>
      </c>
    </row>
    <row r="138" spans="10:10" x14ac:dyDescent="0.3">
      <c r="J138" t="s">
        <v>47</v>
      </c>
    </row>
    <row r="139" spans="10:10" x14ac:dyDescent="0.3">
      <c r="J139" t="s">
        <v>47</v>
      </c>
    </row>
    <row r="140" spans="10:10" x14ac:dyDescent="0.3">
      <c r="J140" t="s">
        <v>47</v>
      </c>
    </row>
    <row r="141" spans="10:10" x14ac:dyDescent="0.3">
      <c r="J141" t="s">
        <v>47</v>
      </c>
    </row>
    <row r="142" spans="10:10" x14ac:dyDescent="0.3">
      <c r="J142" t="s">
        <v>47</v>
      </c>
    </row>
    <row r="143" spans="10:10" x14ac:dyDescent="0.3">
      <c r="J143" t="s">
        <v>47</v>
      </c>
    </row>
    <row r="144" spans="10:10" x14ac:dyDescent="0.3">
      <c r="J144" t="s">
        <v>47</v>
      </c>
    </row>
    <row r="145" spans="10:10" x14ac:dyDescent="0.3">
      <c r="J145" t="s">
        <v>47</v>
      </c>
    </row>
    <row r="146" spans="10:10" x14ac:dyDescent="0.3">
      <c r="J146" t="s">
        <v>47</v>
      </c>
    </row>
    <row r="147" spans="10:10" x14ac:dyDescent="0.3">
      <c r="J147" t="s">
        <v>47</v>
      </c>
    </row>
    <row r="148" spans="10:10" x14ac:dyDescent="0.3">
      <c r="J148" t="s">
        <v>47</v>
      </c>
    </row>
    <row r="149" spans="10:10" x14ac:dyDescent="0.3">
      <c r="J149" t="s">
        <v>47</v>
      </c>
    </row>
    <row r="150" spans="10:10" x14ac:dyDescent="0.3">
      <c r="J150" t="s">
        <v>47</v>
      </c>
    </row>
    <row r="151" spans="10:10" x14ac:dyDescent="0.3">
      <c r="J151" t="s">
        <v>47</v>
      </c>
    </row>
    <row r="152" spans="10:10" x14ac:dyDescent="0.3">
      <c r="J152" t="s">
        <v>47</v>
      </c>
    </row>
    <row r="153" spans="10:10" x14ac:dyDescent="0.3">
      <c r="J153" t="s">
        <v>47</v>
      </c>
    </row>
    <row r="154" spans="10:10" x14ac:dyDescent="0.3">
      <c r="J154" t="s">
        <v>47</v>
      </c>
    </row>
    <row r="155" spans="10:10" x14ac:dyDescent="0.3">
      <c r="J155" t="s">
        <v>47</v>
      </c>
    </row>
    <row r="156" spans="10:10" x14ac:dyDescent="0.3">
      <c r="J156" t="s">
        <v>47</v>
      </c>
    </row>
    <row r="157" spans="10:10" x14ac:dyDescent="0.3">
      <c r="J157" t="s">
        <v>47</v>
      </c>
    </row>
    <row r="158" spans="10:10" x14ac:dyDescent="0.3">
      <c r="J158" t="s">
        <v>47</v>
      </c>
    </row>
    <row r="159" spans="10:10" x14ac:dyDescent="0.3">
      <c r="J159" t="s">
        <v>47</v>
      </c>
    </row>
    <row r="160" spans="10:10" x14ac:dyDescent="0.3">
      <c r="J160" t="s">
        <v>47</v>
      </c>
    </row>
    <row r="161" spans="10:10" x14ac:dyDescent="0.3">
      <c r="J161" t="s">
        <v>47</v>
      </c>
    </row>
    <row r="162" spans="10:10" x14ac:dyDescent="0.3">
      <c r="J162" t="s">
        <v>47</v>
      </c>
    </row>
    <row r="163" spans="10:10" x14ac:dyDescent="0.3">
      <c r="J163" t="s">
        <v>47</v>
      </c>
    </row>
    <row r="164" spans="10:10" x14ac:dyDescent="0.3">
      <c r="J164" t="s">
        <v>47</v>
      </c>
    </row>
    <row r="165" spans="10:10" x14ac:dyDescent="0.3">
      <c r="J165" t="s">
        <v>47</v>
      </c>
    </row>
    <row r="166" spans="10:10" x14ac:dyDescent="0.3">
      <c r="J166" t="s">
        <v>47</v>
      </c>
    </row>
    <row r="167" spans="10:10" x14ac:dyDescent="0.3">
      <c r="J167" t="s">
        <v>47</v>
      </c>
    </row>
    <row r="168" spans="10:10" x14ac:dyDescent="0.3">
      <c r="J168" t="s">
        <v>47</v>
      </c>
    </row>
    <row r="169" spans="10:10" x14ac:dyDescent="0.3">
      <c r="J169" t="s">
        <v>47</v>
      </c>
    </row>
    <row r="170" spans="10:10" x14ac:dyDescent="0.3">
      <c r="J170" t="s">
        <v>47</v>
      </c>
    </row>
    <row r="171" spans="10:10" x14ac:dyDescent="0.3">
      <c r="J171" t="s">
        <v>47</v>
      </c>
    </row>
    <row r="172" spans="10:10" x14ac:dyDescent="0.3">
      <c r="J172" t="s">
        <v>47</v>
      </c>
    </row>
    <row r="173" spans="10:10" x14ac:dyDescent="0.3">
      <c r="J173" t="s">
        <v>47</v>
      </c>
    </row>
    <row r="174" spans="10:10" x14ac:dyDescent="0.3">
      <c r="J174" t="s">
        <v>47</v>
      </c>
    </row>
    <row r="175" spans="10:10" x14ac:dyDescent="0.3">
      <c r="J175" t="s">
        <v>47</v>
      </c>
    </row>
    <row r="176" spans="10:10" x14ac:dyDescent="0.3">
      <c r="J176" t="s">
        <v>47</v>
      </c>
    </row>
    <row r="177" spans="10:10" x14ac:dyDescent="0.3">
      <c r="J177" t="s">
        <v>47</v>
      </c>
    </row>
    <row r="178" spans="10:10" x14ac:dyDescent="0.3">
      <c r="J178" t="s">
        <v>47</v>
      </c>
    </row>
    <row r="179" spans="10:10" x14ac:dyDescent="0.3">
      <c r="J179" t="s">
        <v>47</v>
      </c>
    </row>
    <row r="180" spans="10:10" x14ac:dyDescent="0.3">
      <c r="J180" t="s">
        <v>47</v>
      </c>
    </row>
    <row r="181" spans="10:10" x14ac:dyDescent="0.3">
      <c r="J181" t="s">
        <v>47</v>
      </c>
    </row>
    <row r="182" spans="10:10" x14ac:dyDescent="0.3">
      <c r="J182" t="s">
        <v>47</v>
      </c>
    </row>
    <row r="183" spans="10:10" x14ac:dyDescent="0.3">
      <c r="J183" t="s">
        <v>47</v>
      </c>
    </row>
    <row r="184" spans="10:10" x14ac:dyDescent="0.3">
      <c r="J184" t="s">
        <v>47</v>
      </c>
    </row>
    <row r="185" spans="10:10" x14ac:dyDescent="0.3">
      <c r="J185" t="s">
        <v>47</v>
      </c>
    </row>
    <row r="186" spans="10:10" x14ac:dyDescent="0.3">
      <c r="J186" t="s">
        <v>47</v>
      </c>
    </row>
    <row r="187" spans="10:10" x14ac:dyDescent="0.3">
      <c r="J187" t="s">
        <v>47</v>
      </c>
    </row>
    <row r="188" spans="10:10" x14ac:dyDescent="0.3">
      <c r="J188" t="s">
        <v>47</v>
      </c>
    </row>
    <row r="189" spans="10:10" x14ac:dyDescent="0.3">
      <c r="J189" t="s">
        <v>47</v>
      </c>
    </row>
    <row r="190" spans="10:10" x14ac:dyDescent="0.3">
      <c r="J190" t="s">
        <v>47</v>
      </c>
    </row>
    <row r="191" spans="10:10" x14ac:dyDescent="0.3">
      <c r="J191" t="s">
        <v>47</v>
      </c>
    </row>
    <row r="192" spans="10:10" x14ac:dyDescent="0.3">
      <c r="J192" t="s">
        <v>47</v>
      </c>
    </row>
    <row r="193" spans="10:10" x14ac:dyDescent="0.3">
      <c r="J193" t="s">
        <v>47</v>
      </c>
    </row>
    <row r="194" spans="10:10" x14ac:dyDescent="0.3">
      <c r="J194" t="s">
        <v>47</v>
      </c>
    </row>
    <row r="195" spans="10:10" x14ac:dyDescent="0.3">
      <c r="J195" t="s">
        <v>47</v>
      </c>
    </row>
    <row r="196" spans="10:10" x14ac:dyDescent="0.3">
      <c r="J196" t="s">
        <v>47</v>
      </c>
    </row>
    <row r="197" spans="10:10" x14ac:dyDescent="0.3">
      <c r="J197" t="s">
        <v>47</v>
      </c>
    </row>
    <row r="198" spans="10:10" x14ac:dyDescent="0.3">
      <c r="J198" t="s">
        <v>47</v>
      </c>
    </row>
    <row r="199" spans="10:10" x14ac:dyDescent="0.3">
      <c r="J199" t="s">
        <v>47</v>
      </c>
    </row>
    <row r="200" spans="10:10" x14ac:dyDescent="0.3">
      <c r="J200" t="s">
        <v>47</v>
      </c>
    </row>
    <row r="201" spans="10:10" x14ac:dyDescent="0.3">
      <c r="J201" t="s">
        <v>47</v>
      </c>
    </row>
    <row r="202" spans="10:10" x14ac:dyDescent="0.3">
      <c r="J202" t="s">
        <v>47</v>
      </c>
    </row>
    <row r="203" spans="10:10" x14ac:dyDescent="0.3">
      <c r="J203" t="s">
        <v>47</v>
      </c>
    </row>
    <row r="204" spans="10:10" x14ac:dyDescent="0.3">
      <c r="J204" t="s">
        <v>47</v>
      </c>
    </row>
    <row r="205" spans="10:10" x14ac:dyDescent="0.3">
      <c r="J205" t="s">
        <v>47</v>
      </c>
    </row>
    <row r="206" spans="10:10" x14ac:dyDescent="0.3">
      <c r="J206" t="s">
        <v>47</v>
      </c>
    </row>
    <row r="207" spans="10:10" x14ac:dyDescent="0.3">
      <c r="J207" t="s">
        <v>47</v>
      </c>
    </row>
    <row r="208" spans="10:10" x14ac:dyDescent="0.3">
      <c r="J208" t="s">
        <v>47</v>
      </c>
    </row>
    <row r="209" spans="10:10" x14ac:dyDescent="0.3">
      <c r="J209" t="s">
        <v>47</v>
      </c>
    </row>
    <row r="210" spans="10:10" x14ac:dyDescent="0.3">
      <c r="J210" t="s">
        <v>47</v>
      </c>
    </row>
    <row r="211" spans="10:10" x14ac:dyDescent="0.3">
      <c r="J211" t="s">
        <v>47</v>
      </c>
    </row>
    <row r="212" spans="10:10" x14ac:dyDescent="0.3">
      <c r="J212" t="s">
        <v>47</v>
      </c>
    </row>
    <row r="213" spans="10:10" x14ac:dyDescent="0.3">
      <c r="J213" t="s">
        <v>47</v>
      </c>
    </row>
    <row r="214" spans="10:10" x14ac:dyDescent="0.3">
      <c r="J214" t="s">
        <v>47</v>
      </c>
    </row>
    <row r="215" spans="10:10" x14ac:dyDescent="0.3">
      <c r="J215" t="s">
        <v>47</v>
      </c>
    </row>
    <row r="216" spans="10:10" x14ac:dyDescent="0.3">
      <c r="J216" t="s">
        <v>47</v>
      </c>
    </row>
    <row r="217" spans="10:10" x14ac:dyDescent="0.3">
      <c r="J217" t="s">
        <v>47</v>
      </c>
    </row>
    <row r="218" spans="10:10" x14ac:dyDescent="0.3">
      <c r="J218" t="s">
        <v>47</v>
      </c>
    </row>
    <row r="219" spans="10:10" x14ac:dyDescent="0.3">
      <c r="J219" t="s">
        <v>47</v>
      </c>
    </row>
    <row r="220" spans="10:10" x14ac:dyDescent="0.3">
      <c r="J220" t="s">
        <v>47</v>
      </c>
    </row>
    <row r="221" spans="10:10" x14ac:dyDescent="0.3">
      <c r="J221" t="s">
        <v>47</v>
      </c>
    </row>
    <row r="222" spans="10:10" x14ac:dyDescent="0.3">
      <c r="J222" t="s">
        <v>47</v>
      </c>
    </row>
    <row r="223" spans="10:10" x14ac:dyDescent="0.3">
      <c r="J223" t="s">
        <v>47</v>
      </c>
    </row>
    <row r="224" spans="10:10" x14ac:dyDescent="0.3">
      <c r="J224" t="s">
        <v>47</v>
      </c>
    </row>
    <row r="225" spans="10:10" x14ac:dyDescent="0.3">
      <c r="J225" t="s">
        <v>47</v>
      </c>
    </row>
    <row r="226" spans="10:10" x14ac:dyDescent="0.3">
      <c r="J226" t="s">
        <v>47</v>
      </c>
    </row>
    <row r="227" spans="10:10" x14ac:dyDescent="0.3">
      <c r="J227" t="s">
        <v>47</v>
      </c>
    </row>
    <row r="228" spans="10:10" x14ac:dyDescent="0.3">
      <c r="J228" t="s">
        <v>47</v>
      </c>
    </row>
    <row r="229" spans="10:10" x14ac:dyDescent="0.3">
      <c r="J229" t="s">
        <v>47</v>
      </c>
    </row>
    <row r="230" spans="10:10" x14ac:dyDescent="0.3">
      <c r="J230" t="s">
        <v>47</v>
      </c>
    </row>
    <row r="231" spans="10:10" x14ac:dyDescent="0.3">
      <c r="J231" t="s">
        <v>47</v>
      </c>
    </row>
    <row r="232" spans="10:10" x14ac:dyDescent="0.3">
      <c r="J232" t="s">
        <v>47</v>
      </c>
    </row>
    <row r="233" spans="10:10" x14ac:dyDescent="0.3">
      <c r="J233" t="s">
        <v>47</v>
      </c>
    </row>
    <row r="234" spans="10:10" x14ac:dyDescent="0.3">
      <c r="J234" t="s">
        <v>47</v>
      </c>
    </row>
    <row r="235" spans="10:10" x14ac:dyDescent="0.3">
      <c r="J235" t="s">
        <v>47</v>
      </c>
    </row>
    <row r="236" spans="10:10" x14ac:dyDescent="0.3">
      <c r="J236" t="s">
        <v>47</v>
      </c>
    </row>
    <row r="237" spans="10:10" x14ac:dyDescent="0.3">
      <c r="J237" t="s">
        <v>47</v>
      </c>
    </row>
    <row r="238" spans="10:10" x14ac:dyDescent="0.3">
      <c r="J238" t="s">
        <v>47</v>
      </c>
    </row>
    <row r="239" spans="10:10" x14ac:dyDescent="0.3">
      <c r="J239" t="s">
        <v>47</v>
      </c>
    </row>
    <row r="240" spans="10:10" x14ac:dyDescent="0.3">
      <c r="J240" t="s">
        <v>47</v>
      </c>
    </row>
    <row r="241" spans="10:10" x14ac:dyDescent="0.3">
      <c r="J241" t="s">
        <v>47</v>
      </c>
    </row>
    <row r="242" spans="10:10" x14ac:dyDescent="0.3">
      <c r="J242" t="s">
        <v>47</v>
      </c>
    </row>
    <row r="243" spans="10:10" x14ac:dyDescent="0.3">
      <c r="J243" t="s">
        <v>47</v>
      </c>
    </row>
    <row r="244" spans="10:10" x14ac:dyDescent="0.3">
      <c r="J244" t="s">
        <v>47</v>
      </c>
    </row>
    <row r="245" spans="10:10" x14ac:dyDescent="0.3">
      <c r="J245" t="s">
        <v>47</v>
      </c>
    </row>
    <row r="246" spans="10:10" x14ac:dyDescent="0.3">
      <c r="J246" t="s">
        <v>47</v>
      </c>
    </row>
    <row r="247" spans="10:10" x14ac:dyDescent="0.3">
      <c r="J247" t="s">
        <v>47</v>
      </c>
    </row>
    <row r="248" spans="10:10" x14ac:dyDescent="0.3">
      <c r="J248" t="s">
        <v>47</v>
      </c>
    </row>
    <row r="249" spans="10:10" x14ac:dyDescent="0.3">
      <c r="J249" t="s">
        <v>47</v>
      </c>
    </row>
    <row r="250" spans="10:10" x14ac:dyDescent="0.3">
      <c r="J250" t="s">
        <v>47</v>
      </c>
    </row>
    <row r="251" spans="10:10" x14ac:dyDescent="0.3">
      <c r="J251" t="s">
        <v>47</v>
      </c>
    </row>
    <row r="252" spans="10:10" x14ac:dyDescent="0.3">
      <c r="J252" t="s">
        <v>47</v>
      </c>
    </row>
    <row r="253" spans="10:10" x14ac:dyDescent="0.3">
      <c r="J253" t="s">
        <v>47</v>
      </c>
    </row>
    <row r="254" spans="10:10" x14ac:dyDescent="0.3">
      <c r="J254" t="s">
        <v>47</v>
      </c>
    </row>
    <row r="255" spans="10:10" x14ac:dyDescent="0.3">
      <c r="J255" t="s">
        <v>47</v>
      </c>
    </row>
    <row r="256" spans="10:10" x14ac:dyDescent="0.3">
      <c r="J256" t="s">
        <v>47</v>
      </c>
    </row>
    <row r="257" spans="10:10" x14ac:dyDescent="0.3">
      <c r="J257" t="s">
        <v>47</v>
      </c>
    </row>
    <row r="258" spans="10:10" x14ac:dyDescent="0.3">
      <c r="J258" t="s">
        <v>47</v>
      </c>
    </row>
    <row r="259" spans="10:10" x14ac:dyDescent="0.3">
      <c r="J259" t="s">
        <v>47</v>
      </c>
    </row>
    <row r="260" spans="10:10" x14ac:dyDescent="0.3">
      <c r="J260" t="s">
        <v>47</v>
      </c>
    </row>
    <row r="261" spans="10:10" x14ac:dyDescent="0.3">
      <c r="J261" t="s">
        <v>47</v>
      </c>
    </row>
    <row r="262" spans="10:10" x14ac:dyDescent="0.3">
      <c r="J262" t="s">
        <v>47</v>
      </c>
    </row>
    <row r="263" spans="10:10" x14ac:dyDescent="0.3">
      <c r="J263" t="s">
        <v>47</v>
      </c>
    </row>
    <row r="264" spans="10:10" x14ac:dyDescent="0.3">
      <c r="J264" t="s">
        <v>47</v>
      </c>
    </row>
    <row r="265" spans="10:10" x14ac:dyDescent="0.3">
      <c r="J265" t="s">
        <v>47</v>
      </c>
    </row>
    <row r="266" spans="10:10" x14ac:dyDescent="0.3">
      <c r="J266" t="s">
        <v>47</v>
      </c>
    </row>
  </sheetData>
  <phoneticPr fontId="3" type="noConversion"/>
  <dataValidations count="1">
    <dataValidation type="whole" operator="greaterThan" allowBlank="1" showInputMessage="1" showErrorMessage="1" sqref="B4" xr:uid="{43D43CDD-791D-4196-B380-CEF111530105}">
      <formula1>0</formula1>
    </dataValidation>
  </dataValidations>
  <pageMargins left="0.7" right="0.7" top="0.75" bottom="0.75" header="0.3" footer="0.3"/>
  <ignoredErrors>
    <ignoredError sqref="D34:I41 D42:I48" calculatedColumn="1"/>
  </ignoredErrors>
  <drawing r:id="rId1"/>
  <tableParts count="5">
    <tablePart r:id="rId2"/>
    <tablePart r:id="rId3"/>
    <tablePart r:id="rId4"/>
    <tablePart r:id="rId5"/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3C5515-60A0-42E9-BBF9-5225EAA89815}">
          <x14:formula1>
            <xm:f>Info!$B$4:$B$13</xm:f>
          </x14:formula1>
          <xm:sqref>H35:H36 H45:H48 H38:H43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68A7-9B05-424E-8742-C5520D778727}">
  <dimension ref="B3:F10"/>
  <sheetViews>
    <sheetView workbookViewId="0">
      <selection activeCell="H7" sqref="H7"/>
    </sheetView>
  </sheetViews>
  <sheetFormatPr defaultRowHeight="14.4" x14ac:dyDescent="0.3"/>
  <cols>
    <col min="2" max="2" width="13.33203125" bestFit="1" customWidth="1"/>
    <col min="3" max="3" width="22.109375" style="2" bestFit="1" customWidth="1"/>
    <col min="5" max="5" width="13.33203125" bestFit="1" customWidth="1"/>
    <col min="6" max="6" width="12.44140625" bestFit="1" customWidth="1"/>
  </cols>
  <sheetData>
    <row r="3" spans="2:6" x14ac:dyDescent="0.3">
      <c r="B3" t="s">
        <v>5</v>
      </c>
      <c r="C3" s="2" t="s">
        <v>42</v>
      </c>
      <c r="E3" t="s">
        <v>20</v>
      </c>
      <c r="F3" t="s">
        <v>69</v>
      </c>
    </row>
    <row r="4" spans="2:6" x14ac:dyDescent="0.3">
      <c r="B4" t="s">
        <v>6</v>
      </c>
      <c r="C4" s="2">
        <v>2.99</v>
      </c>
      <c r="E4" t="s">
        <v>77</v>
      </c>
      <c r="F4" s="4" t="s">
        <v>78</v>
      </c>
    </row>
    <row r="5" spans="2:6" x14ac:dyDescent="0.3">
      <c r="B5" t="s">
        <v>7</v>
      </c>
      <c r="C5" s="2">
        <v>2.99</v>
      </c>
      <c r="E5" t="s">
        <v>64</v>
      </c>
      <c r="F5" s="4" t="s">
        <v>70</v>
      </c>
    </row>
    <row r="6" spans="2:6" x14ac:dyDescent="0.3">
      <c r="B6" t="s">
        <v>8</v>
      </c>
      <c r="C6" s="2">
        <v>6.99</v>
      </c>
      <c r="E6" t="s">
        <v>65</v>
      </c>
      <c r="F6" s="4" t="s">
        <v>71</v>
      </c>
    </row>
    <row r="7" spans="2:6" x14ac:dyDescent="0.3">
      <c r="B7" t="s">
        <v>9</v>
      </c>
      <c r="C7" s="2">
        <v>10</v>
      </c>
      <c r="E7" t="s">
        <v>66</v>
      </c>
      <c r="F7" s="4" t="s">
        <v>72</v>
      </c>
    </row>
    <row r="8" spans="2:6" x14ac:dyDescent="0.3">
      <c r="B8" t="s">
        <v>41</v>
      </c>
      <c r="C8" s="2">
        <v>25</v>
      </c>
      <c r="E8" t="s">
        <v>67</v>
      </c>
      <c r="F8" s="4" t="s">
        <v>73</v>
      </c>
    </row>
    <row r="9" spans="2:6" x14ac:dyDescent="0.3">
      <c r="B9" t="s">
        <v>89</v>
      </c>
      <c r="C9" s="2">
        <v>10</v>
      </c>
      <c r="E9" t="s">
        <v>68</v>
      </c>
      <c r="F9" s="4" t="s">
        <v>74</v>
      </c>
    </row>
    <row r="10" spans="2:6" x14ac:dyDescent="0.3">
      <c r="B10" t="s">
        <v>161</v>
      </c>
      <c r="C10" s="2">
        <v>10</v>
      </c>
      <c r="E10" t="s">
        <v>75</v>
      </c>
      <c r="F10" s="4" t="s">
        <v>76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A443-55A9-4BC9-AD11-AE06510A96A9}">
  <dimension ref="B3:L24"/>
  <sheetViews>
    <sheetView workbookViewId="0">
      <selection activeCell="F27" sqref="F27"/>
    </sheetView>
  </sheetViews>
  <sheetFormatPr defaultRowHeight="14.4" x14ac:dyDescent="0.3"/>
  <cols>
    <col min="2" max="2" width="9" bestFit="1" customWidth="1"/>
    <col min="3" max="3" width="34" bestFit="1" customWidth="1"/>
    <col min="4" max="4" width="21" bestFit="1" customWidth="1"/>
    <col min="5" max="5" width="16.21875" bestFit="1" customWidth="1"/>
    <col min="6" max="6" width="18.33203125" bestFit="1" customWidth="1"/>
    <col min="7" max="7" width="16.21875" bestFit="1" customWidth="1"/>
    <col min="8" max="9" width="25.44140625" customWidth="1"/>
    <col min="10" max="10" width="20.21875" bestFit="1" customWidth="1"/>
    <col min="11" max="11" width="16.33203125" customWidth="1"/>
    <col min="12" max="12" width="7.6640625" bestFit="1" customWidth="1"/>
  </cols>
  <sheetData>
    <row r="3" spans="2:12" x14ac:dyDescent="0.3">
      <c r="B3" t="s">
        <v>0</v>
      </c>
      <c r="C3" t="s">
        <v>2</v>
      </c>
      <c r="D3" s="2" t="s">
        <v>23</v>
      </c>
      <c r="E3" t="s">
        <v>25</v>
      </c>
      <c r="F3" t="s">
        <v>28</v>
      </c>
      <c r="G3" t="s">
        <v>21</v>
      </c>
      <c r="H3" s="2" t="s">
        <v>12</v>
      </c>
      <c r="I3" s="2" t="s">
        <v>27</v>
      </c>
      <c r="J3" s="2" t="s">
        <v>11</v>
      </c>
      <c r="K3" s="2" t="s">
        <v>3</v>
      </c>
      <c r="L3" s="2" t="s">
        <v>4</v>
      </c>
    </row>
    <row r="4" spans="2:12" x14ac:dyDescent="0.3">
      <c r="B4" t="s">
        <v>79</v>
      </c>
      <c r="C4" t="s">
        <v>29</v>
      </c>
      <c r="D4" s="2">
        <v>34.99</v>
      </c>
      <c r="E4">
        <v>1</v>
      </c>
      <c r="F4">
        <v>1</v>
      </c>
      <c r="G4">
        <v>1</v>
      </c>
      <c r="H4" s="2">
        <f>IFERROR(Table112[[#This Row],[Order Price (Euros)]]/Table112[[#This Row],[Parts per order]],0)</f>
        <v>34.99</v>
      </c>
      <c r="I4" s="2">
        <f>Table112[[#This Row],[Part Price (Euros)]]*Table112[[#This Row],[Parts Used]]</f>
        <v>34.99</v>
      </c>
      <c r="J4" s="2">
        <f>Table112[[#This Row],[Order Price (Euros)]]*Table112[[#This Row],[Order Quantity]]</f>
        <v>34.99</v>
      </c>
      <c r="K4" s="2" t="s">
        <v>7</v>
      </c>
      <c r="L4" s="2"/>
    </row>
    <row r="5" spans="2:12" x14ac:dyDescent="0.3">
      <c r="B5" t="s">
        <v>81</v>
      </c>
      <c r="C5" t="s">
        <v>228</v>
      </c>
      <c r="D5" s="2"/>
      <c r="H5" s="2">
        <f>IFERROR(Table112[[#This Row],[Order Price (Euros)]]/Table112[[#This Row],[Parts per order]],0)</f>
        <v>0</v>
      </c>
      <c r="I5" s="2">
        <f>Table112[[#This Row],[Part Price (Euros)]]*Table112[[#This Row],[Parts Used]]</f>
        <v>0</v>
      </c>
      <c r="J5" s="2">
        <f>Table112[[#This Row],[Order Price (Euros)]]*Table112[[#This Row],[Order Quantity]]</f>
        <v>0</v>
      </c>
      <c r="K5" s="2"/>
      <c r="L5" s="2"/>
    </row>
    <row r="6" spans="2:12" x14ac:dyDescent="0.3">
      <c r="B6" t="s">
        <v>82</v>
      </c>
      <c r="C6" t="s">
        <v>32</v>
      </c>
      <c r="D6" s="2">
        <v>5.34</v>
      </c>
      <c r="E6">
        <v>1</v>
      </c>
      <c r="F6">
        <v>1</v>
      </c>
      <c r="G6">
        <v>1</v>
      </c>
      <c r="H6" s="2">
        <f>IFERROR(Table112[[#This Row],[Order Price (Euros)]]/Table112[[#This Row],[Parts per order]],0)</f>
        <v>5.34</v>
      </c>
      <c r="I6" s="2">
        <f>Table112[[#This Row],[Part Price (Euros)]]*Table112[[#This Row],[Parts Used]]</f>
        <v>5.34</v>
      </c>
      <c r="J6" s="2">
        <f>Table112[[#This Row],[Order Price (Euros)]]*Table112[[#This Row],[Order Quantity]]</f>
        <v>5.34</v>
      </c>
      <c r="K6" s="2" t="s">
        <v>8</v>
      </c>
      <c r="L6" s="2"/>
    </row>
    <row r="7" spans="2:12" x14ac:dyDescent="0.3">
      <c r="B7" t="s">
        <v>83</v>
      </c>
      <c r="C7" t="s">
        <v>37</v>
      </c>
      <c r="D7" s="2">
        <v>13.9</v>
      </c>
      <c r="E7">
        <v>1</v>
      </c>
      <c r="F7">
        <v>1</v>
      </c>
      <c r="G7">
        <v>1</v>
      </c>
      <c r="H7" s="2">
        <f>IFERROR(Table112[[#This Row],[Order Price (Euros)]]/Table112[[#This Row],[Parts per order]],0)</f>
        <v>13.9</v>
      </c>
      <c r="I7" s="2">
        <f>Table112[[#This Row],[Part Price (Euros)]]*Table112[[#This Row],[Parts Used]]</f>
        <v>13.9</v>
      </c>
      <c r="J7" s="2">
        <f>Table112[[#This Row],[Order Price (Euros)]]*Table112[[#This Row],[Order Quantity]]</f>
        <v>13.9</v>
      </c>
      <c r="K7" s="2" t="s">
        <v>8</v>
      </c>
      <c r="L7" s="2"/>
    </row>
    <row r="8" spans="2:12" x14ac:dyDescent="0.3">
      <c r="B8" t="s">
        <v>84</v>
      </c>
      <c r="C8" t="s">
        <v>61</v>
      </c>
      <c r="D8" s="2"/>
      <c r="H8" s="2">
        <f>IFERROR(Table112[[#This Row],[Order Price (Euros)]]/Table112[[#This Row],[Parts per order]],0)</f>
        <v>0</v>
      </c>
      <c r="I8" s="2">
        <f>Table112[[#This Row],[Part Price (Euros)]]*Table112[[#This Row],[Parts Used]]</f>
        <v>0</v>
      </c>
      <c r="J8" s="2">
        <f>Table112[[#This Row],[Order Price (Euros)]]*Table112[[#This Row],[Order Quantity]]</f>
        <v>0</v>
      </c>
      <c r="K8" s="2"/>
      <c r="L8" s="2"/>
    </row>
    <row r="9" spans="2:12" x14ac:dyDescent="0.3">
      <c r="B9" t="s">
        <v>85</v>
      </c>
      <c r="C9" t="s">
        <v>62</v>
      </c>
      <c r="D9" s="2"/>
      <c r="H9" s="2">
        <f>IFERROR(Table112[[#This Row],[Order Price (Euros)]]/Table112[[#This Row],[Parts per order]],0)</f>
        <v>0</v>
      </c>
      <c r="I9" s="2">
        <f>Table112[[#This Row],[Part Price (Euros)]]*Table112[[#This Row],[Parts Used]]</f>
        <v>0</v>
      </c>
      <c r="J9" s="2">
        <f>Table112[[#This Row],[Order Price (Euros)]]*Table112[[#This Row],[Order Quantity]]</f>
        <v>0</v>
      </c>
      <c r="K9" s="2"/>
      <c r="L9" s="2"/>
    </row>
    <row r="10" spans="2:12" x14ac:dyDescent="0.3">
      <c r="B10" t="s">
        <v>86</v>
      </c>
      <c r="C10" t="s">
        <v>63</v>
      </c>
      <c r="D10" s="2"/>
      <c r="H10" s="2">
        <f>IFERROR(Table112[[#This Row],[Order Price (Euros)]]/Table112[[#This Row],[Parts per order]],0)</f>
        <v>0</v>
      </c>
      <c r="I10" s="2">
        <f>Table112[[#This Row],[Part Price (Euros)]]*Table112[[#This Row],[Parts Used]]</f>
        <v>0</v>
      </c>
      <c r="J10" s="2">
        <f>Table112[[#This Row],[Order Price (Euros)]]*Table112[[#This Row],[Order Quantity]]</f>
        <v>0</v>
      </c>
      <c r="K10" s="2"/>
      <c r="L10" s="2"/>
    </row>
    <row r="11" spans="2:12" x14ac:dyDescent="0.3">
      <c r="B11" t="s">
        <v>87</v>
      </c>
      <c r="C11" t="s">
        <v>80</v>
      </c>
      <c r="D11" s="2"/>
      <c r="H11" s="2">
        <f>IFERROR(Table112[[#This Row],[Order Price (Euros)]]/Table112[[#This Row],[Parts per order]],0)</f>
        <v>0</v>
      </c>
      <c r="I11" s="2">
        <f>Table112[[#This Row],[Part Price (Euros)]]*Table112[[#This Row],[Parts Used]]</f>
        <v>0</v>
      </c>
      <c r="J11" s="2">
        <f>Table112[[#This Row],[Order Price (Euros)]]*Table112[[#This Row],[Order Quantity]]</f>
        <v>0</v>
      </c>
      <c r="K11" s="2"/>
      <c r="L11" s="2"/>
    </row>
    <row r="12" spans="2:12" x14ac:dyDescent="0.3">
      <c r="B12" t="s">
        <v>102</v>
      </c>
      <c r="C12" t="s">
        <v>103</v>
      </c>
      <c r="D12" s="2"/>
      <c r="H12" s="2">
        <f>IFERROR(Table112[[#This Row],[Order Price (Euros)]]/Table112[[#This Row],[Parts per order]],0)</f>
        <v>0</v>
      </c>
      <c r="I12" s="2">
        <f>Table112[[#This Row],[Part Price (Euros)]]*Table112[[#This Row],[Parts Used]]</f>
        <v>0</v>
      </c>
      <c r="J12" s="2">
        <f>Table112[[#This Row],[Order Price (Euros)]]*Table112[[#This Row],[Order Quantity]]</f>
        <v>0</v>
      </c>
      <c r="K12" s="2"/>
      <c r="L12" s="2"/>
    </row>
    <row r="13" spans="2:12" x14ac:dyDescent="0.3">
      <c r="B13" t="s">
        <v>104</v>
      </c>
      <c r="C13" t="s">
        <v>106</v>
      </c>
      <c r="D13" s="2"/>
      <c r="H13" s="2">
        <f>IFERROR(Table112[[#This Row],[Order Price (Euros)]]/Table112[[#This Row],[Parts per order]],0)</f>
        <v>0</v>
      </c>
      <c r="I13" s="2">
        <f>Table112[[#This Row],[Part Price (Euros)]]*Table112[[#This Row],[Parts Used]]</f>
        <v>0</v>
      </c>
      <c r="J13" s="2">
        <f>Table112[[#This Row],[Order Price (Euros)]]*Table112[[#This Row],[Order Quantity]]</f>
        <v>0</v>
      </c>
      <c r="K13" s="2"/>
      <c r="L13" s="2"/>
    </row>
    <row r="14" spans="2:12" x14ac:dyDescent="0.3">
      <c r="B14" t="s">
        <v>105</v>
      </c>
      <c r="C14" t="s">
        <v>107</v>
      </c>
      <c r="D14" s="2"/>
      <c r="H14" s="2">
        <f>IFERROR(Table112[[#This Row],[Order Price (Euros)]]/Table112[[#This Row],[Parts per order]],0)</f>
        <v>0</v>
      </c>
      <c r="I14" s="2">
        <f>Table112[[#This Row],[Part Price (Euros)]]*Table112[[#This Row],[Parts Used]]</f>
        <v>0</v>
      </c>
      <c r="J14" s="2">
        <f>Table112[[#This Row],[Order Price (Euros)]]*Table112[[#This Row],[Order Quantity]]</f>
        <v>0</v>
      </c>
      <c r="K14" s="2"/>
      <c r="L14" s="2"/>
    </row>
    <row r="15" spans="2:12" x14ac:dyDescent="0.3">
      <c r="D15" s="2"/>
      <c r="H15" s="2">
        <f>IFERROR(Table112[[#This Row],[Order Price (Euros)]]/Table112[[#This Row],[Parts per order]],0)</f>
        <v>0</v>
      </c>
      <c r="I15" s="2">
        <f>Table112[[#This Row],[Part Price (Euros)]]*Table112[[#This Row],[Parts Used]]</f>
        <v>0</v>
      </c>
      <c r="J15" s="2">
        <f>Table112[[#This Row],[Order Price (Euros)]]*Table112[[#This Row],[Order Quantity]]</f>
        <v>0</v>
      </c>
      <c r="K15" s="2"/>
      <c r="L15" s="2"/>
    </row>
    <row r="16" spans="2:12" x14ac:dyDescent="0.3">
      <c r="D16" s="2"/>
      <c r="H16" s="2">
        <f>IFERROR(Table112[[#This Row],[Order Price (Euros)]]/Table112[[#This Row],[Parts per order]],0)</f>
        <v>0</v>
      </c>
      <c r="I16" s="2">
        <f>Table112[[#This Row],[Part Price (Euros)]]*Table112[[#This Row],[Parts Used]]</f>
        <v>0</v>
      </c>
      <c r="J16" s="2">
        <f>Table112[[#This Row],[Order Price (Euros)]]*Table112[[#This Row],[Order Quantity]]</f>
        <v>0</v>
      </c>
      <c r="K16" s="2"/>
      <c r="L16" s="2"/>
    </row>
    <row r="17" spans="4:12" x14ac:dyDescent="0.3">
      <c r="D17" s="2"/>
      <c r="H17" s="2">
        <f>IFERROR(Table112[[#This Row],[Order Price (Euros)]]/Table112[[#This Row],[Parts per order]],0)</f>
        <v>0</v>
      </c>
      <c r="I17" s="2">
        <f>Table112[[#This Row],[Part Price (Euros)]]*Table112[[#This Row],[Parts Used]]</f>
        <v>0</v>
      </c>
      <c r="J17" s="2">
        <f>Table112[[#This Row],[Order Price (Euros)]]*Table112[[#This Row],[Order Quantity]]</f>
        <v>0</v>
      </c>
      <c r="K17" s="2"/>
      <c r="L17" s="2"/>
    </row>
    <row r="18" spans="4:12" x14ac:dyDescent="0.3">
      <c r="D18" s="2"/>
      <c r="H18" s="2">
        <f>IFERROR(Table112[[#This Row],[Order Price (Euros)]]/Table112[[#This Row],[Parts per order]],0)</f>
        <v>0</v>
      </c>
      <c r="I18" s="2">
        <f>Table112[[#This Row],[Part Price (Euros)]]*Table112[[#This Row],[Parts Used]]</f>
        <v>0</v>
      </c>
      <c r="J18" s="2">
        <f>Table112[[#This Row],[Order Price (Euros)]]*Table112[[#This Row],[Order Quantity]]</f>
        <v>0</v>
      </c>
      <c r="K18" s="2"/>
      <c r="L18" s="2"/>
    </row>
    <row r="19" spans="4:12" x14ac:dyDescent="0.3">
      <c r="D19" s="2"/>
      <c r="H19" s="2">
        <f>IFERROR(Table112[[#This Row],[Order Price (Euros)]]/Table112[[#This Row],[Parts per order]],0)</f>
        <v>0</v>
      </c>
      <c r="I19" s="2">
        <f>Table112[[#This Row],[Part Price (Euros)]]*Table112[[#This Row],[Parts Used]]</f>
        <v>0</v>
      </c>
      <c r="J19" s="2">
        <f>Table112[[#This Row],[Order Price (Euros)]]*Table112[[#This Row],[Order Quantity]]</f>
        <v>0</v>
      </c>
      <c r="K19" s="2"/>
      <c r="L19" s="2"/>
    </row>
    <row r="20" spans="4:12" x14ac:dyDescent="0.3">
      <c r="D20" s="2"/>
      <c r="H20" s="2">
        <f>IFERROR(Table112[[#This Row],[Order Price (Euros)]]/Table112[[#This Row],[Parts per order]],0)</f>
        <v>0</v>
      </c>
      <c r="I20" s="2">
        <f>Table112[[#This Row],[Part Price (Euros)]]*Table112[[#This Row],[Parts Used]]</f>
        <v>0</v>
      </c>
      <c r="J20" s="2">
        <f>Table112[[#This Row],[Order Price (Euros)]]*Table112[[#This Row],[Order Quantity]]</f>
        <v>0</v>
      </c>
      <c r="K20" s="2"/>
      <c r="L20" s="2"/>
    </row>
    <row r="21" spans="4:12" x14ac:dyDescent="0.3">
      <c r="D21" s="2"/>
      <c r="H21" s="2">
        <f>IFERROR(Table112[[#This Row],[Order Price (Euros)]]/Table112[[#This Row],[Parts per order]],0)</f>
        <v>0</v>
      </c>
      <c r="I21" s="2">
        <f>Table112[[#This Row],[Part Price (Euros)]]*Table112[[#This Row],[Parts Used]]</f>
        <v>0</v>
      </c>
      <c r="J21" s="2">
        <f>Table112[[#This Row],[Order Price (Euros)]]*Table112[[#This Row],[Order Quantity]]</f>
        <v>0</v>
      </c>
      <c r="K21" s="2"/>
      <c r="L21" s="2"/>
    </row>
    <row r="22" spans="4:12" x14ac:dyDescent="0.3">
      <c r="D22" s="2"/>
      <c r="H22" s="2">
        <f>IFERROR(Table112[[#This Row],[Order Price (Euros)]]/Table112[[#This Row],[Parts per order]],0)</f>
        <v>0</v>
      </c>
      <c r="I22" s="2">
        <f>Table112[[#This Row],[Part Price (Euros)]]*Table112[[#This Row],[Parts Used]]</f>
        <v>0</v>
      </c>
      <c r="J22" s="2">
        <f>Table112[[#This Row],[Order Price (Euros)]]*Table112[[#This Row],[Order Quantity]]</f>
        <v>0</v>
      </c>
      <c r="K22" s="2"/>
      <c r="L22" s="2"/>
    </row>
    <row r="23" spans="4:12" x14ac:dyDescent="0.3">
      <c r="D23" s="2"/>
      <c r="H23" s="2">
        <f>IFERROR(Table112[[#This Row],[Order Price (Euros)]]/Table112[[#This Row],[Parts per order]],0)</f>
        <v>0</v>
      </c>
      <c r="I23" s="2">
        <f>Table112[[#This Row],[Part Price (Euros)]]*Table112[[#This Row],[Parts Used]]</f>
        <v>0</v>
      </c>
      <c r="J23" s="2">
        <f>Table112[[#This Row],[Order Price (Euros)]]*Table112[[#This Row],[Order Quantity]]</f>
        <v>0</v>
      </c>
      <c r="K23" s="2"/>
      <c r="L23" s="2"/>
    </row>
    <row r="24" spans="4:12" x14ac:dyDescent="0.3">
      <c r="D24" s="2"/>
      <c r="H24" s="2">
        <f>IFERROR(Table112[[#This Row],[Order Price (Euros)]]/Table112[[#This Row],[Parts per order]],0)</f>
        <v>0</v>
      </c>
      <c r="I24" s="2">
        <f>Table112[[#This Row],[Part Price (Euros)]]*Table112[[#This Row],[Parts Used]]</f>
        <v>0</v>
      </c>
      <c r="J24" s="2">
        <f>Table112[[#This Row],[Order Price (Euros)]]*Table112[[#This Row],[Order Quantity]]</f>
        <v>0</v>
      </c>
      <c r="K24" s="2"/>
      <c r="L24" s="2"/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70EFFE-C161-4919-A992-97E895FB64BB}">
          <x14:formula1>
            <xm:f>Info!$B$4:$B$13</xm:f>
          </x14:formula1>
          <xm:sqref>K4:K24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808CC-B4BD-4C47-950C-A28CAD57A8FF}">
  <dimension ref="B3:O42"/>
  <sheetViews>
    <sheetView zoomScale="70" zoomScaleNormal="70" workbookViewId="0">
      <selection activeCell="F46" sqref="F46"/>
    </sheetView>
  </sheetViews>
  <sheetFormatPr defaultRowHeight="14.4" x14ac:dyDescent="0.3"/>
  <cols>
    <col min="2" max="2" width="15.5546875" customWidth="1"/>
    <col min="3" max="3" width="20.21875" bestFit="1" customWidth="1"/>
    <col min="4" max="4" width="21" bestFit="1" customWidth="1"/>
    <col min="5" max="5" width="24" bestFit="1" customWidth="1"/>
    <col min="6" max="6" width="18.33203125" bestFit="1" customWidth="1"/>
    <col min="7" max="7" width="19.44140625" bestFit="1" customWidth="1"/>
    <col min="8" max="8" width="21.88671875" bestFit="1" customWidth="1"/>
    <col min="9" max="9" width="21.88671875" customWidth="1"/>
    <col min="10" max="10" width="11" bestFit="1" customWidth="1"/>
    <col min="11" max="11" width="16.5546875" bestFit="1" customWidth="1"/>
    <col min="12" max="12" width="20" bestFit="1" customWidth="1"/>
    <col min="13" max="13" width="18.88671875" bestFit="1" customWidth="1"/>
    <col min="14" max="14" width="10.21875" bestFit="1" customWidth="1"/>
    <col min="15" max="15" width="8" bestFit="1" customWidth="1"/>
  </cols>
  <sheetData>
    <row r="3" spans="2:15" x14ac:dyDescent="0.3">
      <c r="B3" t="s">
        <v>0</v>
      </c>
      <c r="C3" t="s">
        <v>2</v>
      </c>
      <c r="D3" s="2" t="s">
        <v>168</v>
      </c>
      <c r="E3" s="2" t="s">
        <v>169</v>
      </c>
      <c r="F3" t="s">
        <v>170</v>
      </c>
      <c r="G3" t="s">
        <v>48</v>
      </c>
      <c r="H3" t="s">
        <v>167</v>
      </c>
      <c r="I3" t="s">
        <v>10</v>
      </c>
      <c r="J3" s="2" t="s">
        <v>166</v>
      </c>
      <c r="K3" s="2" t="s">
        <v>3</v>
      </c>
      <c r="L3" t="s">
        <v>164</v>
      </c>
      <c r="M3" t="s">
        <v>165</v>
      </c>
      <c r="N3" t="s">
        <v>13</v>
      </c>
      <c r="O3" t="s">
        <v>14</v>
      </c>
    </row>
    <row r="4" spans="2:15" x14ac:dyDescent="0.3">
      <c r="B4" t="s">
        <v>181</v>
      </c>
      <c r="C4" t="s">
        <v>163</v>
      </c>
      <c r="D4" s="12">
        <v>134</v>
      </c>
      <c r="E4" s="12">
        <v>151</v>
      </c>
      <c r="F4">
        <f>Table14[[#This Row],[Total filament weight (g)]]-Table14[[#This Row],[Print weight (g)]]</f>
        <v>17</v>
      </c>
      <c r="G4">
        <v>4</v>
      </c>
      <c r="H4">
        <v>5</v>
      </c>
      <c r="I4" s="14">
        <v>41</v>
      </c>
      <c r="J4" s="13">
        <f>IFERROR(Table14[[#This Row],[Print weight (g)]]/(Table14[[#This Row],[Print weight (g)]]+Table14[[#This Row],[Support weight (g)]]),0)</f>
        <v>0.88741721854304634</v>
      </c>
      <c r="K4" s="2" t="s">
        <v>9</v>
      </c>
      <c r="L4">
        <f>(Table14[[#This Row],[Print time (min)]]+60*Table14[[#This Row],[Print time (h)]])*Table14[[#This Row],[Nr Prints]]</f>
        <v>1364</v>
      </c>
      <c r="M4">
        <f>Table14[[#This Row],[Nr Prints]]*(Table14[[#This Row],[Print weight (g)]]+Table14[[#This Row],[Support weight (g)]])/1000</f>
        <v>0.60399999999999998</v>
      </c>
      <c r="N4" t="s">
        <v>143</v>
      </c>
      <c r="O4" t="s">
        <v>144</v>
      </c>
    </row>
    <row r="5" spans="2:15" x14ac:dyDescent="0.3">
      <c r="B5" t="s">
        <v>182</v>
      </c>
      <c r="C5" t="s">
        <v>180</v>
      </c>
      <c r="D5" s="12">
        <v>3</v>
      </c>
      <c r="E5" s="12">
        <v>3</v>
      </c>
      <c r="F5">
        <f>Table14[[#This Row],[Total filament weight (g)]]-Table14[[#This Row],[Print weight (g)]]</f>
        <v>0</v>
      </c>
      <c r="G5">
        <v>4</v>
      </c>
      <c r="H5">
        <v>0</v>
      </c>
      <c r="I5" s="14">
        <v>6</v>
      </c>
      <c r="J5" s="13">
        <f>IFERROR(Table14[[#This Row],[Print weight (g)]]/(Table14[[#This Row],[Print weight (g)]]+Table14[[#This Row],[Support weight (g)]]),0)</f>
        <v>1</v>
      </c>
      <c r="K5" s="2" t="s">
        <v>9</v>
      </c>
      <c r="L5">
        <f>(Table14[[#This Row],[Print time (min)]]+60*Table14[[#This Row],[Print time (h)]])*Table14[[#This Row],[Nr Prints]]</f>
        <v>24</v>
      </c>
      <c r="M5">
        <f>Table14[[#This Row],[Nr Prints]]*(Table14[[#This Row],[Print weight (g)]]+Table14[[#This Row],[Support weight (g)]])/1000</f>
        <v>1.2E-2</v>
      </c>
      <c r="N5" t="s">
        <v>49</v>
      </c>
      <c r="O5" t="s">
        <v>171</v>
      </c>
    </row>
    <row r="6" spans="2:15" x14ac:dyDescent="0.3">
      <c r="B6" t="s">
        <v>183</v>
      </c>
      <c r="C6" t="s">
        <v>172</v>
      </c>
      <c r="D6" s="12">
        <v>5</v>
      </c>
      <c r="E6" s="12">
        <v>5</v>
      </c>
      <c r="F6">
        <f>Table14[[#This Row],[Total filament weight (g)]]-Table14[[#This Row],[Print weight (g)]]</f>
        <v>0</v>
      </c>
      <c r="G6">
        <v>4</v>
      </c>
      <c r="H6">
        <v>0</v>
      </c>
      <c r="I6" s="14">
        <v>10</v>
      </c>
      <c r="J6" s="13">
        <f>IFERROR(Table14[[#This Row],[Print weight (g)]]/(Table14[[#This Row],[Print weight (g)]]+Table14[[#This Row],[Support weight (g)]]),0)</f>
        <v>1</v>
      </c>
      <c r="K6" s="2" t="s">
        <v>9</v>
      </c>
      <c r="L6">
        <f>(Table14[[#This Row],[Print time (min)]]+60*Table14[[#This Row],[Print time (h)]])*Table14[[#This Row],[Nr Prints]]</f>
        <v>40</v>
      </c>
      <c r="M6">
        <f>Table14[[#This Row],[Nr Prints]]*(Table14[[#This Row],[Print weight (g)]]+Table14[[#This Row],[Support weight (g)]])/1000</f>
        <v>0.02</v>
      </c>
      <c r="N6" t="s">
        <v>49</v>
      </c>
      <c r="O6" t="s">
        <v>171</v>
      </c>
    </row>
    <row r="7" spans="2:15" x14ac:dyDescent="0.3">
      <c r="B7" t="s">
        <v>184</v>
      </c>
      <c r="C7" t="s">
        <v>173</v>
      </c>
      <c r="D7" s="12">
        <v>4</v>
      </c>
      <c r="E7" s="12">
        <v>4</v>
      </c>
      <c r="F7">
        <f>Table14[[#This Row],[Total filament weight (g)]]-Table14[[#This Row],[Print weight (g)]]</f>
        <v>0</v>
      </c>
      <c r="G7">
        <v>4</v>
      </c>
      <c r="H7">
        <v>0</v>
      </c>
      <c r="I7" s="14">
        <v>13</v>
      </c>
      <c r="J7" s="13">
        <f>IFERROR(Table14[[#This Row],[Print weight (g)]]/(Table14[[#This Row],[Print weight (g)]]+Table14[[#This Row],[Support weight (g)]]),0)</f>
        <v>1</v>
      </c>
      <c r="K7" s="2" t="s">
        <v>9</v>
      </c>
      <c r="L7">
        <f>(Table14[[#This Row],[Print time (min)]]+60*Table14[[#This Row],[Print time (h)]])*Table14[[#This Row],[Nr Prints]]</f>
        <v>52</v>
      </c>
      <c r="M7">
        <f>Table14[[#This Row],[Nr Prints]]*(Table14[[#This Row],[Print weight (g)]]+Table14[[#This Row],[Support weight (g)]])/1000</f>
        <v>1.6E-2</v>
      </c>
      <c r="N7" t="s">
        <v>49</v>
      </c>
      <c r="O7" t="s">
        <v>171</v>
      </c>
    </row>
    <row r="8" spans="2:15" x14ac:dyDescent="0.3">
      <c r="B8" t="s">
        <v>185</v>
      </c>
      <c r="C8" t="s">
        <v>174</v>
      </c>
      <c r="D8" s="12">
        <v>8</v>
      </c>
      <c r="E8" s="12">
        <v>8</v>
      </c>
      <c r="F8">
        <f>Table14[[#This Row],[Total filament weight (g)]]-Table14[[#This Row],[Print weight (g)]]</f>
        <v>0</v>
      </c>
      <c r="G8">
        <v>4</v>
      </c>
      <c r="H8">
        <v>0</v>
      </c>
      <c r="I8" s="14">
        <v>15</v>
      </c>
      <c r="J8" s="13">
        <f>IFERROR(Table14[[#This Row],[Print weight (g)]]/(Table14[[#This Row],[Print weight (g)]]+Table14[[#This Row],[Support weight (g)]]),0)</f>
        <v>1</v>
      </c>
      <c r="K8" s="2" t="s">
        <v>9</v>
      </c>
      <c r="L8">
        <f>(Table14[[#This Row],[Print time (min)]]+60*Table14[[#This Row],[Print time (h)]])*Table14[[#This Row],[Nr Prints]]</f>
        <v>60</v>
      </c>
      <c r="M8">
        <f>Table14[[#This Row],[Nr Prints]]*(Table14[[#This Row],[Print weight (g)]]+Table14[[#This Row],[Support weight (g)]])/1000</f>
        <v>3.2000000000000001E-2</v>
      </c>
      <c r="N8" t="s">
        <v>49</v>
      </c>
      <c r="O8" t="s">
        <v>171</v>
      </c>
    </row>
    <row r="9" spans="2:15" x14ac:dyDescent="0.3">
      <c r="B9" t="s">
        <v>186</v>
      </c>
      <c r="C9" t="s">
        <v>179</v>
      </c>
      <c r="D9" s="12">
        <v>11</v>
      </c>
      <c r="E9" s="12">
        <v>11</v>
      </c>
      <c r="F9">
        <f>Table14[[#This Row],[Total filament weight (g)]]-Table14[[#This Row],[Print weight (g)]]</f>
        <v>0</v>
      </c>
      <c r="G9">
        <v>4</v>
      </c>
      <c r="H9">
        <v>0</v>
      </c>
      <c r="I9" s="14">
        <v>27</v>
      </c>
      <c r="J9" s="13">
        <f>IFERROR(Table14[[#This Row],[Print weight (g)]]/(Table14[[#This Row],[Print weight (g)]]+Table14[[#This Row],[Support weight (g)]]),0)</f>
        <v>1</v>
      </c>
      <c r="K9" s="2" t="s">
        <v>9</v>
      </c>
      <c r="L9">
        <f>(Table14[[#This Row],[Print time (min)]]+60*Table14[[#This Row],[Print time (h)]])*Table14[[#This Row],[Nr Prints]]</f>
        <v>108</v>
      </c>
      <c r="M9">
        <f>Table14[[#This Row],[Nr Prints]]*(Table14[[#This Row],[Print weight (g)]]+Table14[[#This Row],[Support weight (g)]])/1000</f>
        <v>4.3999999999999997E-2</v>
      </c>
      <c r="N9" t="s">
        <v>49</v>
      </c>
      <c r="O9" t="s">
        <v>171</v>
      </c>
    </row>
    <row r="10" spans="2:15" x14ac:dyDescent="0.3">
      <c r="B10" t="s">
        <v>187</v>
      </c>
      <c r="C10" t="s">
        <v>176</v>
      </c>
      <c r="D10" s="12">
        <v>12</v>
      </c>
      <c r="E10" s="12">
        <v>12</v>
      </c>
      <c r="F10">
        <f>Table14[[#This Row],[Total filament weight (g)]]-Table14[[#This Row],[Print weight (g)]]</f>
        <v>0</v>
      </c>
      <c r="G10">
        <v>1</v>
      </c>
      <c r="H10">
        <v>0</v>
      </c>
      <c r="I10" s="14">
        <v>24</v>
      </c>
      <c r="J10" s="13">
        <f>IFERROR(Table14[[#This Row],[Print weight (g)]]/(Table14[[#This Row],[Print weight (g)]]+Table14[[#This Row],[Support weight (g)]]),0)</f>
        <v>1</v>
      </c>
      <c r="K10" s="2" t="s">
        <v>9</v>
      </c>
      <c r="L10">
        <f>(Table14[[#This Row],[Print time (min)]]+60*Table14[[#This Row],[Print time (h)]])*Table14[[#This Row],[Nr Prints]]</f>
        <v>24</v>
      </c>
      <c r="M10">
        <f>Table14[[#This Row],[Nr Prints]]*(Table14[[#This Row],[Print weight (g)]]+Table14[[#This Row],[Support weight (g)]])/1000</f>
        <v>1.2E-2</v>
      </c>
      <c r="N10" t="s">
        <v>143</v>
      </c>
      <c r="O10" t="s">
        <v>144</v>
      </c>
    </row>
    <row r="11" spans="2:15" x14ac:dyDescent="0.3">
      <c r="B11" t="s">
        <v>188</v>
      </c>
      <c r="C11" t="s">
        <v>175</v>
      </c>
      <c r="D11" s="12">
        <v>12</v>
      </c>
      <c r="E11" s="12">
        <v>12</v>
      </c>
      <c r="F11">
        <f>Table14[[#This Row],[Total filament weight (g)]]-Table14[[#This Row],[Print weight (g)]]</f>
        <v>0</v>
      </c>
      <c r="G11">
        <v>1</v>
      </c>
      <c r="H11">
        <v>0</v>
      </c>
      <c r="I11" s="14">
        <v>24</v>
      </c>
      <c r="J11" s="13">
        <f>IFERROR(Table14[[#This Row],[Print weight (g)]]/(Table14[[#This Row],[Print weight (g)]]+Table14[[#This Row],[Support weight (g)]]),0)</f>
        <v>1</v>
      </c>
      <c r="K11" s="2" t="s">
        <v>9</v>
      </c>
      <c r="L11">
        <f>(Table14[[#This Row],[Print time (min)]]+60*Table14[[#This Row],[Print time (h)]])*Table14[[#This Row],[Nr Prints]]</f>
        <v>24</v>
      </c>
      <c r="M11">
        <f>Table14[[#This Row],[Nr Prints]]*(Table14[[#This Row],[Print weight (g)]]+Table14[[#This Row],[Support weight (g)]])/1000</f>
        <v>1.2E-2</v>
      </c>
      <c r="N11" t="s">
        <v>143</v>
      </c>
      <c r="O11" t="s">
        <v>144</v>
      </c>
    </row>
    <row r="12" spans="2:15" x14ac:dyDescent="0.3">
      <c r="B12" t="s">
        <v>189</v>
      </c>
      <c r="C12" t="s">
        <v>177</v>
      </c>
      <c r="D12" s="12">
        <v>60</v>
      </c>
      <c r="E12" s="12">
        <v>60</v>
      </c>
      <c r="F12">
        <f>Table14[[#This Row],[Total filament weight (g)]]-Table14[[#This Row],[Print weight (g)]]</f>
        <v>0</v>
      </c>
      <c r="G12">
        <v>2</v>
      </c>
      <c r="H12">
        <v>1</v>
      </c>
      <c r="I12" s="14">
        <v>37</v>
      </c>
      <c r="J12" s="13">
        <f>IFERROR(Table14[[#This Row],[Print weight (g)]]/(Table14[[#This Row],[Print weight (g)]]+Table14[[#This Row],[Support weight (g)]]),0)</f>
        <v>1</v>
      </c>
      <c r="K12" s="2" t="s">
        <v>9</v>
      </c>
      <c r="L12">
        <f>(Table14[[#This Row],[Print time (min)]]+60*Table14[[#This Row],[Print time (h)]])*Table14[[#This Row],[Nr Prints]]</f>
        <v>194</v>
      </c>
      <c r="M12">
        <f>Table14[[#This Row],[Nr Prints]]*(Table14[[#This Row],[Print weight (g)]]+Table14[[#This Row],[Support weight (g)]])/1000</f>
        <v>0.12</v>
      </c>
      <c r="N12" t="s">
        <v>49</v>
      </c>
      <c r="O12" t="s">
        <v>171</v>
      </c>
    </row>
    <row r="13" spans="2:15" x14ac:dyDescent="0.3">
      <c r="B13" t="s">
        <v>190</v>
      </c>
      <c r="C13" t="s">
        <v>178</v>
      </c>
      <c r="D13" s="12">
        <v>31</v>
      </c>
      <c r="E13" s="12">
        <v>41</v>
      </c>
      <c r="F13">
        <f>Table14[[#This Row],[Total filament weight (g)]]-Table14[[#This Row],[Print weight (g)]]</f>
        <v>10</v>
      </c>
      <c r="G13">
        <v>2</v>
      </c>
      <c r="H13">
        <v>1</v>
      </c>
      <c r="I13" s="14">
        <v>39</v>
      </c>
      <c r="J13" s="13">
        <f>IFERROR(Table14[[#This Row],[Print weight (g)]]/(Table14[[#This Row],[Print weight (g)]]+Table14[[#This Row],[Support weight (g)]]),0)</f>
        <v>0.75609756097560976</v>
      </c>
      <c r="K13" s="2" t="s">
        <v>9</v>
      </c>
      <c r="L13">
        <f>(Table14[[#This Row],[Print time (min)]]+60*Table14[[#This Row],[Print time (h)]])*Table14[[#This Row],[Nr Prints]]</f>
        <v>198</v>
      </c>
      <c r="M13">
        <f>Table14[[#This Row],[Nr Prints]]*(Table14[[#This Row],[Print weight (g)]]+Table14[[#This Row],[Support weight (g)]])/1000</f>
        <v>8.2000000000000003E-2</v>
      </c>
      <c r="N13" t="s">
        <v>49</v>
      </c>
      <c r="O13" t="s">
        <v>171</v>
      </c>
    </row>
    <row r="14" spans="2:15" x14ac:dyDescent="0.3">
      <c r="B14" t="s">
        <v>191</v>
      </c>
      <c r="C14" t="s">
        <v>195</v>
      </c>
      <c r="D14" s="12">
        <v>4</v>
      </c>
      <c r="E14" s="12">
        <v>6</v>
      </c>
      <c r="F14">
        <f>Table14[[#This Row],[Total filament weight (g)]]-Table14[[#This Row],[Print weight (g)]]</f>
        <v>2</v>
      </c>
      <c r="G14">
        <v>2</v>
      </c>
      <c r="H14">
        <v>0</v>
      </c>
      <c r="I14" s="14">
        <v>22</v>
      </c>
      <c r="J14" s="13">
        <f>IFERROR(Table14[[#This Row],[Print weight (g)]]/(Table14[[#This Row],[Print weight (g)]]+Table14[[#This Row],[Support weight (g)]]),0)</f>
        <v>0.66666666666666663</v>
      </c>
      <c r="K14" s="2" t="s">
        <v>9</v>
      </c>
      <c r="L14">
        <f>(Table14[[#This Row],[Print time (min)]]+60*Table14[[#This Row],[Print time (h)]])*Table14[[#This Row],[Nr Prints]]</f>
        <v>44</v>
      </c>
      <c r="M14">
        <f>Table14[[#This Row],[Nr Prints]]*(Table14[[#This Row],[Print weight (g)]]+Table14[[#This Row],[Support weight (g)]])/1000</f>
        <v>1.2E-2</v>
      </c>
      <c r="N14" t="s">
        <v>49</v>
      </c>
      <c r="O14" t="s">
        <v>171</v>
      </c>
    </row>
    <row r="15" spans="2:15" x14ac:dyDescent="0.3">
      <c r="B15" t="s">
        <v>192</v>
      </c>
      <c r="C15" t="s">
        <v>196</v>
      </c>
      <c r="D15" s="12">
        <v>4</v>
      </c>
      <c r="E15" s="12">
        <v>6</v>
      </c>
      <c r="F15">
        <f>Table14[[#This Row],[Total filament weight (g)]]-Table14[[#This Row],[Print weight (g)]]</f>
        <v>2</v>
      </c>
      <c r="G15">
        <v>2</v>
      </c>
      <c r="H15">
        <v>0</v>
      </c>
      <c r="I15" s="14">
        <v>22</v>
      </c>
      <c r="J15" s="13">
        <f>IFERROR(Table14[[#This Row],[Print weight (g)]]/(Table14[[#This Row],[Print weight (g)]]+Table14[[#This Row],[Support weight (g)]]),0)</f>
        <v>0.66666666666666663</v>
      </c>
      <c r="K15" s="2" t="s">
        <v>9</v>
      </c>
      <c r="L15">
        <f>(Table14[[#This Row],[Print time (min)]]+60*Table14[[#This Row],[Print time (h)]])*Table14[[#This Row],[Nr Prints]]</f>
        <v>44</v>
      </c>
      <c r="M15">
        <f>Table14[[#This Row],[Nr Prints]]*(Table14[[#This Row],[Print weight (g)]]+Table14[[#This Row],[Support weight (g)]])/1000</f>
        <v>1.2E-2</v>
      </c>
      <c r="N15" t="s">
        <v>49</v>
      </c>
      <c r="O15" t="s">
        <v>171</v>
      </c>
    </row>
    <row r="16" spans="2:15" x14ac:dyDescent="0.3">
      <c r="B16" t="s">
        <v>193</v>
      </c>
      <c r="C16" t="s">
        <v>197</v>
      </c>
      <c r="D16" s="12">
        <v>12</v>
      </c>
      <c r="E16" s="12">
        <v>13</v>
      </c>
      <c r="F16">
        <f>Table14[[#This Row],[Total filament weight (g)]]-Table14[[#This Row],[Print weight (g)]]</f>
        <v>1</v>
      </c>
      <c r="G16">
        <v>2</v>
      </c>
      <c r="H16">
        <v>0</v>
      </c>
      <c r="I16" s="14">
        <v>22</v>
      </c>
      <c r="J16" s="13">
        <f>IFERROR(Table14[[#This Row],[Print weight (g)]]/(Table14[[#This Row],[Print weight (g)]]+Table14[[#This Row],[Support weight (g)]]),0)</f>
        <v>0.92307692307692313</v>
      </c>
      <c r="K16" s="2" t="s">
        <v>9</v>
      </c>
      <c r="L16">
        <f>(Table14[[#This Row],[Print time (min)]]+60*Table14[[#This Row],[Print time (h)]])*Table14[[#This Row],[Nr Prints]]</f>
        <v>44</v>
      </c>
      <c r="M16">
        <f>Table14[[#This Row],[Nr Prints]]*(Table14[[#This Row],[Print weight (g)]]+Table14[[#This Row],[Support weight (g)]])/1000</f>
        <v>2.5999999999999999E-2</v>
      </c>
      <c r="N16" t="s">
        <v>49</v>
      </c>
      <c r="O16" t="s">
        <v>171</v>
      </c>
    </row>
    <row r="17" spans="2:15" x14ac:dyDescent="0.3">
      <c r="B17" t="s">
        <v>194</v>
      </c>
      <c r="C17" t="s">
        <v>198</v>
      </c>
      <c r="D17" s="12">
        <v>5</v>
      </c>
      <c r="E17" s="12">
        <v>5</v>
      </c>
      <c r="F17">
        <f>Table14[[#This Row],[Total filament weight (g)]]-Table14[[#This Row],[Print weight (g)]]</f>
        <v>0</v>
      </c>
      <c r="G17">
        <v>2</v>
      </c>
      <c r="H17">
        <v>0</v>
      </c>
      <c r="I17" s="14">
        <v>7</v>
      </c>
      <c r="J17" s="13">
        <f>IFERROR(Table14[[#This Row],[Print weight (g)]]/(Table14[[#This Row],[Print weight (g)]]+Table14[[#This Row],[Support weight (g)]]),0)</f>
        <v>1</v>
      </c>
      <c r="K17" s="2" t="s">
        <v>9</v>
      </c>
      <c r="L17">
        <f>(Table14[[#This Row],[Print time (min)]]+60*Table14[[#This Row],[Print time (h)]])*Table14[[#This Row],[Nr Prints]]</f>
        <v>14</v>
      </c>
      <c r="M17">
        <f>Table14[[#This Row],[Nr Prints]]*(Table14[[#This Row],[Print weight (g)]]+Table14[[#This Row],[Support weight (g)]])/1000</f>
        <v>0.01</v>
      </c>
      <c r="N17" t="s">
        <v>49</v>
      </c>
      <c r="O17" t="s">
        <v>171</v>
      </c>
    </row>
    <row r="18" spans="2:15" x14ac:dyDescent="0.3">
      <c r="B18" t="s">
        <v>200</v>
      </c>
      <c r="C18" t="s">
        <v>199</v>
      </c>
      <c r="D18" s="12">
        <v>3</v>
      </c>
      <c r="E18" s="12">
        <v>4</v>
      </c>
      <c r="F18">
        <f>Table14[[#This Row],[Total filament weight (g)]]-Table14[[#This Row],[Print weight (g)]]</f>
        <v>1</v>
      </c>
      <c r="G18">
        <v>2</v>
      </c>
      <c r="H18">
        <v>0</v>
      </c>
      <c r="I18" s="14">
        <v>12</v>
      </c>
      <c r="J18" s="13">
        <f>IFERROR(Table14[[#This Row],[Print weight (g)]]/(Table14[[#This Row],[Print weight (g)]]+Table14[[#This Row],[Support weight (g)]]),0)</f>
        <v>0.75</v>
      </c>
      <c r="K18" s="2" t="s">
        <v>9</v>
      </c>
      <c r="L18">
        <f>(Table14[[#This Row],[Print time (min)]]+60*Table14[[#This Row],[Print time (h)]])*Table14[[#This Row],[Nr Prints]]</f>
        <v>24</v>
      </c>
      <c r="M18">
        <f>Table14[[#This Row],[Nr Prints]]*(Table14[[#This Row],[Print weight (g)]]+Table14[[#This Row],[Support weight (g)]])/1000</f>
        <v>8.0000000000000002E-3</v>
      </c>
      <c r="N18" t="s">
        <v>49</v>
      </c>
      <c r="O18" t="s">
        <v>171</v>
      </c>
    </row>
    <row r="19" spans="2:15" x14ac:dyDescent="0.3">
      <c r="B19" t="s">
        <v>201</v>
      </c>
      <c r="C19" t="s">
        <v>207</v>
      </c>
      <c r="D19" s="12">
        <v>1</v>
      </c>
      <c r="E19" s="12">
        <v>1</v>
      </c>
      <c r="F19">
        <f>Table14[[#This Row],[Total filament weight (g)]]-Table14[[#This Row],[Print weight (g)]]</f>
        <v>0</v>
      </c>
      <c r="G19">
        <v>2</v>
      </c>
      <c r="H19">
        <v>0</v>
      </c>
      <c r="I19" s="14">
        <v>2</v>
      </c>
      <c r="J19" s="13">
        <f>IFERROR(Table14[[#This Row],[Print weight (g)]]/(Table14[[#This Row],[Print weight (g)]]+Table14[[#This Row],[Support weight (g)]]),0)</f>
        <v>1</v>
      </c>
      <c r="K19" s="2" t="s">
        <v>9</v>
      </c>
      <c r="L19">
        <f>(Table14[[#This Row],[Print time (min)]]+60*Table14[[#This Row],[Print time (h)]])*Table14[[#This Row],[Nr Prints]]</f>
        <v>4</v>
      </c>
      <c r="M19">
        <f>Table14[[#This Row],[Nr Prints]]*(Table14[[#This Row],[Print weight (g)]]+Table14[[#This Row],[Support weight (g)]])/1000</f>
        <v>2E-3</v>
      </c>
      <c r="N19" t="s">
        <v>49</v>
      </c>
      <c r="O19" t="s">
        <v>171</v>
      </c>
    </row>
    <row r="20" spans="2:15" x14ac:dyDescent="0.3">
      <c r="B20" t="s">
        <v>202</v>
      </c>
      <c r="C20" t="s">
        <v>208</v>
      </c>
      <c r="D20" s="12">
        <v>1</v>
      </c>
      <c r="E20" s="12">
        <v>1</v>
      </c>
      <c r="F20">
        <f>Table14[[#This Row],[Total filament weight (g)]]-Table14[[#This Row],[Print weight (g)]]</f>
        <v>0</v>
      </c>
      <c r="G20">
        <v>2</v>
      </c>
      <c r="H20">
        <v>0</v>
      </c>
      <c r="I20" s="14">
        <v>2</v>
      </c>
      <c r="J20" s="13">
        <f>IFERROR(Table14[[#This Row],[Print weight (g)]]/(Table14[[#This Row],[Print weight (g)]]+Table14[[#This Row],[Support weight (g)]]),0)</f>
        <v>1</v>
      </c>
      <c r="K20" s="2" t="s">
        <v>9</v>
      </c>
      <c r="L20">
        <f>(Table14[[#This Row],[Print time (min)]]+60*Table14[[#This Row],[Print time (h)]])*Table14[[#This Row],[Nr Prints]]</f>
        <v>4</v>
      </c>
      <c r="M20">
        <f>Table14[[#This Row],[Nr Prints]]*(Table14[[#This Row],[Print weight (g)]]+Table14[[#This Row],[Support weight (g)]])/1000</f>
        <v>2E-3</v>
      </c>
      <c r="N20" t="s">
        <v>49</v>
      </c>
      <c r="O20" t="s">
        <v>14</v>
      </c>
    </row>
    <row r="21" spans="2:15" x14ac:dyDescent="0.3">
      <c r="B21" t="s">
        <v>203</v>
      </c>
      <c r="C21" t="s">
        <v>209</v>
      </c>
      <c r="D21" s="12">
        <v>32</v>
      </c>
      <c r="E21" s="12">
        <v>32</v>
      </c>
      <c r="F21">
        <f>Table14[[#This Row],[Total filament weight (g)]]-Table14[[#This Row],[Print weight (g)]]</f>
        <v>0</v>
      </c>
      <c r="G21">
        <v>2</v>
      </c>
      <c r="H21">
        <v>0</v>
      </c>
      <c r="I21" s="14">
        <v>47</v>
      </c>
      <c r="J21" s="13">
        <f>IFERROR(Table14[[#This Row],[Print weight (g)]]/(Table14[[#This Row],[Print weight (g)]]+Table14[[#This Row],[Support weight (g)]]),0)</f>
        <v>1</v>
      </c>
      <c r="K21" s="2" t="s">
        <v>9</v>
      </c>
      <c r="L21">
        <f>(Table14[[#This Row],[Print time (min)]]+60*Table14[[#This Row],[Print time (h)]])*Table14[[#This Row],[Nr Prints]]</f>
        <v>94</v>
      </c>
      <c r="M21">
        <f>Table14[[#This Row],[Nr Prints]]*(Table14[[#This Row],[Print weight (g)]]+Table14[[#This Row],[Support weight (g)]])/1000</f>
        <v>6.4000000000000001E-2</v>
      </c>
      <c r="N21" t="s">
        <v>49</v>
      </c>
      <c r="O21" t="s">
        <v>138</v>
      </c>
    </row>
    <row r="22" spans="2:15" x14ac:dyDescent="0.3">
      <c r="B22" t="s">
        <v>204</v>
      </c>
      <c r="C22" t="s">
        <v>210</v>
      </c>
      <c r="D22" s="12">
        <v>7</v>
      </c>
      <c r="E22" s="12">
        <v>7</v>
      </c>
      <c r="F22">
        <f>Table14[[#This Row],[Total filament weight (g)]]-Table14[[#This Row],[Print weight (g)]]</f>
        <v>0</v>
      </c>
      <c r="G22">
        <v>1</v>
      </c>
      <c r="H22">
        <v>0</v>
      </c>
      <c r="I22" s="14">
        <v>20</v>
      </c>
      <c r="J22" s="13">
        <f>IFERROR(Table14[[#This Row],[Print weight (g)]]/(Table14[[#This Row],[Print weight (g)]]+Table14[[#This Row],[Support weight (g)]]),0)</f>
        <v>1</v>
      </c>
      <c r="K22" s="2" t="s">
        <v>9</v>
      </c>
      <c r="L22">
        <f>(Table14[[#This Row],[Print time (min)]]+60*Table14[[#This Row],[Print time (h)]])*Table14[[#This Row],[Nr Prints]]</f>
        <v>20</v>
      </c>
      <c r="M22">
        <f>Table14[[#This Row],[Nr Prints]]*(Table14[[#This Row],[Print weight (g)]]+Table14[[#This Row],[Support weight (g)]])/1000</f>
        <v>7.0000000000000001E-3</v>
      </c>
      <c r="N22" t="s">
        <v>49</v>
      </c>
      <c r="O22" t="s">
        <v>171</v>
      </c>
    </row>
    <row r="23" spans="2:15" x14ac:dyDescent="0.3">
      <c r="B23" t="s">
        <v>205</v>
      </c>
      <c r="C23" t="s">
        <v>211</v>
      </c>
      <c r="D23" s="12">
        <v>3</v>
      </c>
      <c r="E23" s="12">
        <v>4</v>
      </c>
      <c r="F23">
        <f>Table14[[#This Row],[Total filament weight (g)]]-Table14[[#This Row],[Print weight (g)]]</f>
        <v>1</v>
      </c>
      <c r="G23">
        <v>1</v>
      </c>
      <c r="H23">
        <v>0</v>
      </c>
      <c r="I23" s="14">
        <v>16</v>
      </c>
      <c r="J23" s="13">
        <f>IFERROR(Table14[[#This Row],[Print weight (g)]]/(Table14[[#This Row],[Print weight (g)]]+Table14[[#This Row],[Support weight (g)]]),0)</f>
        <v>0.75</v>
      </c>
      <c r="K23" s="2" t="s">
        <v>9</v>
      </c>
      <c r="L23">
        <f>(Table14[[#This Row],[Print time (min)]]+60*Table14[[#This Row],[Print time (h)]])*Table14[[#This Row],[Nr Prints]]</f>
        <v>16</v>
      </c>
      <c r="M23">
        <f>Table14[[#This Row],[Nr Prints]]*(Table14[[#This Row],[Print weight (g)]]+Table14[[#This Row],[Support weight (g)]])/1000</f>
        <v>4.0000000000000001E-3</v>
      </c>
      <c r="N23" t="s">
        <v>49</v>
      </c>
      <c r="O23" t="s">
        <v>171</v>
      </c>
    </row>
    <row r="24" spans="2:15" x14ac:dyDescent="0.3">
      <c r="B24" t="s">
        <v>206</v>
      </c>
      <c r="C24" t="s">
        <v>212</v>
      </c>
      <c r="D24" s="12">
        <v>2</v>
      </c>
      <c r="E24" s="12">
        <v>2</v>
      </c>
      <c r="F24">
        <f>Table14[[#This Row],[Total filament weight (g)]]-Table14[[#This Row],[Print weight (g)]]</f>
        <v>0</v>
      </c>
      <c r="G24">
        <v>1</v>
      </c>
      <c r="H24">
        <v>0</v>
      </c>
      <c r="I24" s="14">
        <v>6</v>
      </c>
      <c r="J24" s="13">
        <f>IFERROR(Table14[[#This Row],[Print weight (g)]]/(Table14[[#This Row],[Print weight (g)]]+Table14[[#This Row],[Support weight (g)]]),0)</f>
        <v>1</v>
      </c>
      <c r="K24" s="2" t="s">
        <v>9</v>
      </c>
      <c r="L24">
        <f>(Table14[[#This Row],[Print time (min)]]+60*Table14[[#This Row],[Print time (h)]])*Table14[[#This Row],[Nr Prints]]</f>
        <v>6</v>
      </c>
      <c r="M24">
        <f>Table14[[#This Row],[Nr Prints]]*(Table14[[#This Row],[Print weight (g)]]+Table14[[#This Row],[Support weight (g)]])/1000</f>
        <v>2E-3</v>
      </c>
      <c r="N24" t="s">
        <v>49</v>
      </c>
      <c r="O24" t="s">
        <v>171</v>
      </c>
    </row>
    <row r="25" spans="2:15" x14ac:dyDescent="0.3">
      <c r="B25" t="s">
        <v>213</v>
      </c>
      <c r="C25" t="s">
        <v>214</v>
      </c>
      <c r="D25" s="12">
        <v>493</v>
      </c>
      <c r="E25" s="12">
        <v>625</v>
      </c>
      <c r="F25">
        <f>Table14[[#This Row],[Total filament weight (g)]]-Table14[[#This Row],[Print weight (g)]]</f>
        <v>132</v>
      </c>
      <c r="G25">
        <v>1</v>
      </c>
      <c r="H25">
        <v>18</v>
      </c>
      <c r="I25" s="14">
        <v>28</v>
      </c>
      <c r="J25" s="13">
        <f>IFERROR(Table14[[#This Row],[Print weight (g)]]/(Table14[[#This Row],[Print weight (g)]]+Table14[[#This Row],[Support weight (g)]]),0)</f>
        <v>0.78879999999999995</v>
      </c>
      <c r="K25" s="2" t="s">
        <v>9</v>
      </c>
      <c r="L25">
        <f>(Table14[[#This Row],[Print time (min)]]+60*Table14[[#This Row],[Print time (h)]])*Table14[[#This Row],[Nr Prints]]</f>
        <v>1108</v>
      </c>
      <c r="M25">
        <f>Table14[[#This Row],[Nr Prints]]*(Table14[[#This Row],[Print weight (g)]]+Table14[[#This Row],[Support weight (g)]])/1000</f>
        <v>0.625</v>
      </c>
      <c r="N25" t="s">
        <v>49</v>
      </c>
      <c r="O25" t="s">
        <v>171</v>
      </c>
    </row>
    <row r="26" spans="2:15" x14ac:dyDescent="0.3">
      <c r="B26" t="s">
        <v>218</v>
      </c>
      <c r="C26" t="s">
        <v>215</v>
      </c>
      <c r="D26" s="12">
        <v>149</v>
      </c>
      <c r="E26" s="12">
        <v>149</v>
      </c>
      <c r="F26">
        <f>Table14[[#This Row],[Total filament weight (g)]]-Table14[[#This Row],[Print weight (g)]]</f>
        <v>0</v>
      </c>
      <c r="G26">
        <v>1</v>
      </c>
      <c r="H26">
        <v>2</v>
      </c>
      <c r="I26" s="14">
        <v>52</v>
      </c>
      <c r="J26" s="13">
        <f>IFERROR(Table14[[#This Row],[Print weight (g)]]/(Table14[[#This Row],[Print weight (g)]]+Table14[[#This Row],[Support weight (g)]]),0)</f>
        <v>1</v>
      </c>
      <c r="K26" s="2" t="s">
        <v>9</v>
      </c>
      <c r="L26">
        <f>(Table14[[#This Row],[Print time (min)]]+60*Table14[[#This Row],[Print time (h)]])*Table14[[#This Row],[Nr Prints]]</f>
        <v>172</v>
      </c>
      <c r="M26">
        <f>Table14[[#This Row],[Nr Prints]]*(Table14[[#This Row],[Print weight (g)]]+Table14[[#This Row],[Support weight (g)]])/1000</f>
        <v>0.14899999999999999</v>
      </c>
      <c r="N26" t="s">
        <v>49</v>
      </c>
      <c r="O26" t="s">
        <v>171</v>
      </c>
    </row>
    <row r="27" spans="2:15" x14ac:dyDescent="0.3">
      <c r="B27" t="s">
        <v>219</v>
      </c>
      <c r="C27" t="s">
        <v>216</v>
      </c>
      <c r="D27" s="12">
        <v>125</v>
      </c>
      <c r="E27" s="12">
        <v>132</v>
      </c>
      <c r="F27">
        <f>Table14[[#This Row],[Total filament weight (g)]]-Table14[[#This Row],[Print weight (g)]]</f>
        <v>7</v>
      </c>
      <c r="G27">
        <v>1</v>
      </c>
      <c r="H27">
        <v>2</v>
      </c>
      <c r="I27" s="14">
        <v>58</v>
      </c>
      <c r="J27" s="13">
        <f>IFERROR(Table14[[#This Row],[Print weight (g)]]/(Table14[[#This Row],[Print weight (g)]]+Table14[[#This Row],[Support weight (g)]]),0)</f>
        <v>0.94696969696969702</v>
      </c>
      <c r="K27" s="2" t="s">
        <v>9</v>
      </c>
      <c r="L27">
        <f>(Table14[[#This Row],[Print time (min)]]+60*Table14[[#This Row],[Print time (h)]])*Table14[[#This Row],[Nr Prints]]</f>
        <v>178</v>
      </c>
      <c r="M27">
        <f>Table14[[#This Row],[Nr Prints]]*(Table14[[#This Row],[Print weight (g)]]+Table14[[#This Row],[Support weight (g)]])/1000</f>
        <v>0.13200000000000001</v>
      </c>
      <c r="N27" t="s">
        <v>49</v>
      </c>
      <c r="O27" t="s">
        <v>171</v>
      </c>
    </row>
    <row r="28" spans="2:15" x14ac:dyDescent="0.3">
      <c r="B28" t="s">
        <v>220</v>
      </c>
      <c r="C28" t="s">
        <v>217</v>
      </c>
      <c r="D28" s="12">
        <v>182</v>
      </c>
      <c r="E28" s="12">
        <v>199</v>
      </c>
      <c r="F28">
        <f>Table14[[#This Row],[Total filament weight (g)]]-Table14[[#This Row],[Print weight (g)]]</f>
        <v>17</v>
      </c>
      <c r="G28">
        <v>1</v>
      </c>
      <c r="H28">
        <v>5</v>
      </c>
      <c r="I28" s="14">
        <v>18</v>
      </c>
      <c r="J28" s="13">
        <f>IFERROR(Table14[[#This Row],[Print weight (g)]]/(Table14[[#This Row],[Print weight (g)]]+Table14[[#This Row],[Support weight (g)]]),0)</f>
        <v>0.914572864321608</v>
      </c>
      <c r="K28" s="2" t="s">
        <v>9</v>
      </c>
      <c r="L28">
        <f>(Table14[[#This Row],[Print time (min)]]+60*Table14[[#This Row],[Print time (h)]])*Table14[[#This Row],[Nr Prints]]</f>
        <v>318</v>
      </c>
      <c r="M28">
        <f>Table14[[#This Row],[Nr Prints]]*(Table14[[#This Row],[Print weight (g)]]+Table14[[#This Row],[Support weight (g)]])/1000</f>
        <v>0.19900000000000001</v>
      </c>
      <c r="N28" t="s">
        <v>49</v>
      </c>
      <c r="O28" t="s">
        <v>171</v>
      </c>
    </row>
    <row r="29" spans="2:15" x14ac:dyDescent="0.3">
      <c r="B29" t="s">
        <v>154</v>
      </c>
      <c r="D29" s="12">
        <f>SUM(D4:D28)</f>
        <v>1303</v>
      </c>
      <c r="E29" s="12">
        <f>SUM(E4:E28)</f>
        <v>1493</v>
      </c>
      <c r="F29" s="12">
        <f t="shared" ref="F29:G29" si="0">SUM(F4:F28)</f>
        <v>190</v>
      </c>
      <c r="G29" s="12">
        <f t="shared" si="0"/>
        <v>53</v>
      </c>
      <c r="H29" s="12">
        <f t="shared" ref="H29" si="1">SUM(H4:H28)</f>
        <v>34</v>
      </c>
      <c r="I29" s="12">
        <f t="shared" ref="I29" si="2">SUM(I4:I28)</f>
        <v>570</v>
      </c>
      <c r="J29" s="13">
        <f>IFERROR(D29/(D29+F29),0)</f>
        <v>0.87273945077026127</v>
      </c>
      <c r="K29" s="2"/>
      <c r="L29">
        <f>SUM(L4:L28)</f>
        <v>4178</v>
      </c>
      <c r="M29">
        <f>SUM(M4:M28)</f>
        <v>2.2079999999999997</v>
      </c>
    </row>
    <row r="30" spans="2:15" x14ac:dyDescent="0.3">
      <c r="B30" t="s">
        <v>221</v>
      </c>
      <c r="D30" s="12">
        <f>SUM(D4:D9)</f>
        <v>165</v>
      </c>
      <c r="E30" s="12">
        <f t="shared" ref="E30:M30" si="3">SUM(E4:E9)</f>
        <v>182</v>
      </c>
      <c r="F30" s="12">
        <f t="shared" si="3"/>
        <v>17</v>
      </c>
      <c r="G30" s="12">
        <f t="shared" si="3"/>
        <v>24</v>
      </c>
      <c r="H30" s="12">
        <f t="shared" si="3"/>
        <v>5</v>
      </c>
      <c r="I30" s="12">
        <f t="shared" si="3"/>
        <v>112</v>
      </c>
      <c r="J30" s="13">
        <f>IFERROR(D30/(D30+F30),0)</f>
        <v>0.90659340659340659</v>
      </c>
      <c r="K30" s="12"/>
      <c r="L30" s="12">
        <f t="shared" si="3"/>
        <v>1648</v>
      </c>
      <c r="M30" s="12">
        <f t="shared" si="3"/>
        <v>0.72800000000000009</v>
      </c>
    </row>
    <row r="31" spans="2:15" x14ac:dyDescent="0.3">
      <c r="B31" t="s">
        <v>222</v>
      </c>
      <c r="D31" s="12">
        <f>SUM(D10:D28)</f>
        <v>1138</v>
      </c>
      <c r="E31" s="12">
        <f t="shared" ref="E31:M31" si="4">SUM(E10:E28)</f>
        <v>1311</v>
      </c>
      <c r="F31" s="12">
        <f t="shared" si="4"/>
        <v>173</v>
      </c>
      <c r="G31" s="12">
        <f t="shared" si="4"/>
        <v>29</v>
      </c>
      <c r="H31" s="12">
        <f t="shared" si="4"/>
        <v>29</v>
      </c>
      <c r="I31" s="12">
        <f t="shared" si="4"/>
        <v>458</v>
      </c>
      <c r="J31" s="13">
        <f>IFERROR(D31/(D31+F31),0)</f>
        <v>0.86803966437833713</v>
      </c>
      <c r="K31" s="12">
        <f t="shared" si="4"/>
        <v>0</v>
      </c>
      <c r="L31" s="12">
        <f t="shared" si="4"/>
        <v>2530</v>
      </c>
      <c r="M31" s="12">
        <f t="shared" si="4"/>
        <v>1.4800000000000002</v>
      </c>
    </row>
    <row r="32" spans="2:15" x14ac:dyDescent="0.3">
      <c r="K32" t="s">
        <v>47</v>
      </c>
    </row>
    <row r="33" spans="4:11" x14ac:dyDescent="0.3">
      <c r="D33" t="s">
        <v>0</v>
      </c>
      <c r="E33" t="s">
        <v>13</v>
      </c>
      <c r="F33" t="s">
        <v>14</v>
      </c>
      <c r="G33" t="s">
        <v>146</v>
      </c>
      <c r="H33" t="s">
        <v>145</v>
      </c>
      <c r="I33" t="s">
        <v>3</v>
      </c>
      <c r="J33" t="s">
        <v>4</v>
      </c>
      <c r="K33" t="s">
        <v>47</v>
      </c>
    </row>
    <row r="34" spans="4:11" x14ac:dyDescent="0.3">
      <c r="D34" t="s">
        <v>139</v>
      </c>
      <c r="E34" t="s">
        <v>49</v>
      </c>
      <c r="F34" t="s">
        <v>171</v>
      </c>
      <c r="G34">
        <v>28.46</v>
      </c>
      <c r="H34">
        <f>SUMIFS($M$4:$M$28,$N$4:$N$28,Table12[[#This Row],[Material]],$O$4:$O$28,Table12[[#This Row],[Color]])</f>
        <v>1.514</v>
      </c>
      <c r="I34" s="2" t="s">
        <v>9</v>
      </c>
      <c r="J34" t="s">
        <v>147</v>
      </c>
      <c r="K34" t="s">
        <v>47</v>
      </c>
    </row>
    <row r="35" spans="4:11" x14ac:dyDescent="0.3">
      <c r="D35" t="s">
        <v>140</v>
      </c>
      <c r="E35" t="s">
        <v>49</v>
      </c>
      <c r="F35" t="s">
        <v>138</v>
      </c>
      <c r="G35">
        <v>23.38</v>
      </c>
      <c r="H35">
        <f>SUMIFS($M$4:$M$28,$N$4:$N$28,Table12[[#This Row],[Material]],$O$4:$O$28,Table12[[#This Row],[Color]])</f>
        <v>6.4000000000000001E-2</v>
      </c>
      <c r="I35" s="2" t="s">
        <v>9</v>
      </c>
      <c r="J35" t="s">
        <v>148</v>
      </c>
      <c r="K35" t="s">
        <v>47</v>
      </c>
    </row>
    <row r="36" spans="4:11" x14ac:dyDescent="0.3">
      <c r="D36" t="s">
        <v>141</v>
      </c>
      <c r="E36" t="s">
        <v>49</v>
      </c>
      <c r="F36" t="s">
        <v>14</v>
      </c>
      <c r="G36">
        <v>23.38</v>
      </c>
      <c r="H36">
        <f>SUMIFS($M$4:$M$28,$N$4:$N$28,Table12[[#This Row],[Material]],$O$4:$O$28,Table12[[#This Row],[Color]])</f>
        <v>2E-3</v>
      </c>
      <c r="I36" s="2" t="s">
        <v>9</v>
      </c>
      <c r="J36" t="s">
        <v>148</v>
      </c>
      <c r="K36" t="s">
        <v>47</v>
      </c>
    </row>
    <row r="37" spans="4:11" x14ac:dyDescent="0.3">
      <c r="D37" t="s">
        <v>142</v>
      </c>
      <c r="E37" t="s">
        <v>143</v>
      </c>
      <c r="F37" t="s">
        <v>144</v>
      </c>
      <c r="G37">
        <v>40.67</v>
      </c>
      <c r="H37">
        <f>SUMIFS($M$4:$M$28,$N$4:$N$28,Table12[[#This Row],[Material]],$O$4:$O$28,Table12[[#This Row],[Color]])</f>
        <v>0.628</v>
      </c>
      <c r="I37" s="2" t="s">
        <v>9</v>
      </c>
      <c r="J37" t="s">
        <v>149</v>
      </c>
      <c r="K37" t="s">
        <v>47</v>
      </c>
    </row>
    <row r="38" spans="4:11" x14ac:dyDescent="0.3">
      <c r="K38" t="s">
        <v>47</v>
      </c>
    </row>
    <row r="39" spans="4:11" x14ac:dyDescent="0.3">
      <c r="K39" t="s">
        <v>47</v>
      </c>
    </row>
    <row r="40" spans="4:11" x14ac:dyDescent="0.3">
      <c r="K40" t="s">
        <v>47</v>
      </c>
    </row>
    <row r="41" spans="4:11" x14ac:dyDescent="0.3">
      <c r="K41" t="s">
        <v>47</v>
      </c>
    </row>
    <row r="42" spans="4:11" x14ac:dyDescent="0.3">
      <c r="K42" t="s">
        <v>47</v>
      </c>
    </row>
  </sheetData>
  <phoneticPr fontId="3" type="noConversion"/>
  <dataValidations disablePrompts="1" count="2">
    <dataValidation type="list" allowBlank="1" showInputMessage="1" showErrorMessage="1" sqref="N4:N28" xr:uid="{B1A09052-8ACC-44C1-88E4-6BD7FE990D02}">
      <formula1>"TPU,PLA"</formula1>
    </dataValidation>
    <dataValidation type="list" allowBlank="1" showInputMessage="1" showErrorMessage="1" sqref="O4:O28" xr:uid="{4688107A-BA22-490C-BD33-5853751900BC}">
      <formula1>"White,Black,Grey,Metallic,Color"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9E64534-D8BB-4816-B492-1D41BA1B5F39}">
          <x14:formula1>
            <xm:f>Info!$B$4:$B$13</xm:f>
          </x14:formula1>
          <xm:sqref>I34:I37 K4:K28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1E0F-428E-4FD6-B82C-C327F03A88A8}">
  <dimension ref="B3:P18"/>
  <sheetViews>
    <sheetView tabSelected="1" workbookViewId="0">
      <selection activeCell="C3" sqref="C3"/>
    </sheetView>
  </sheetViews>
  <sheetFormatPr defaultRowHeight="14.4" x14ac:dyDescent="0.3"/>
  <cols>
    <col min="2" max="2" width="9" bestFit="1" customWidth="1"/>
    <col min="3" max="3" width="43.21875" customWidth="1"/>
    <col min="4" max="4" width="17.6640625" style="2" bestFit="1" customWidth="1"/>
    <col min="5" max="5" width="16.21875" bestFit="1" customWidth="1"/>
    <col min="6" max="6" width="12.44140625" bestFit="1" customWidth="1"/>
    <col min="7" max="7" width="16.109375" customWidth="1"/>
    <col min="8" max="8" width="19.5546875" style="2" bestFit="1" customWidth="1"/>
    <col min="9" max="9" width="19.5546875" style="2" customWidth="1"/>
    <col min="10" max="10" width="19.44140625" style="2" bestFit="1" customWidth="1"/>
    <col min="11" max="11" width="14.109375" bestFit="1" customWidth="1"/>
    <col min="12" max="12" width="10.21875" customWidth="1"/>
    <col min="13" max="13" width="12.21875" customWidth="1"/>
    <col min="14" max="14" width="21.109375" bestFit="1" customWidth="1"/>
    <col min="15" max="15" width="17.5546875" bestFit="1" customWidth="1"/>
    <col min="16" max="16" width="16" bestFit="1" customWidth="1"/>
  </cols>
  <sheetData>
    <row r="3" spans="2:16" x14ac:dyDescent="0.3">
      <c r="B3" t="s">
        <v>0</v>
      </c>
      <c r="C3" t="s">
        <v>2</v>
      </c>
      <c r="D3" s="2" t="s">
        <v>23</v>
      </c>
      <c r="E3" t="s">
        <v>25</v>
      </c>
      <c r="F3" t="s">
        <v>28</v>
      </c>
      <c r="G3" t="s">
        <v>21</v>
      </c>
      <c r="H3" s="2" t="s">
        <v>12</v>
      </c>
      <c r="I3" s="2" t="s">
        <v>27</v>
      </c>
      <c r="J3" s="2" t="s">
        <v>11</v>
      </c>
      <c r="K3" t="s">
        <v>3</v>
      </c>
      <c r="L3" t="s">
        <v>4</v>
      </c>
      <c r="M3" t="s">
        <v>15</v>
      </c>
      <c r="N3" t="s">
        <v>16</v>
      </c>
      <c r="O3" t="s">
        <v>17</v>
      </c>
      <c r="P3" t="s">
        <v>230</v>
      </c>
    </row>
    <row r="4" spans="2:16" x14ac:dyDescent="0.3">
      <c r="B4" t="s">
        <v>116</v>
      </c>
      <c r="C4" t="s">
        <v>18</v>
      </c>
      <c r="D4" s="2">
        <v>54.95</v>
      </c>
      <c r="E4">
        <v>1</v>
      </c>
      <c r="F4">
        <v>1</v>
      </c>
      <c r="G4">
        <v>1</v>
      </c>
      <c r="H4" s="2">
        <f>IFERROR(Table16[[#This Row],[Order Price (Euros)]]/Table16[[#This Row],[Parts per order]],0)</f>
        <v>54.95</v>
      </c>
      <c r="I4" s="2">
        <f>Table16[[#This Row],[Part Price (Euros)]]*Table16[[#This Row],[Parts Used]]</f>
        <v>54.95</v>
      </c>
      <c r="J4" s="2">
        <f>Table16[[#This Row],[Order Price (Euros)]]*Table16[[#This Row],[Order Quantity]]</f>
        <v>54.95</v>
      </c>
      <c r="K4" t="s">
        <v>8</v>
      </c>
      <c r="L4" s="15" t="s">
        <v>96</v>
      </c>
      <c r="M4" t="s">
        <v>47</v>
      </c>
      <c r="N4">
        <f>Table16[[#This Row],[Max Current (A)]]*Table16[[#This Row],[Rated Voltage (V)]]*Table16[[#This Row],[Parts Used]]</f>
        <v>1</v>
      </c>
      <c r="O4">
        <v>5</v>
      </c>
      <c r="P4">
        <v>0.2</v>
      </c>
    </row>
    <row r="5" spans="2:16" x14ac:dyDescent="0.3">
      <c r="B5" t="s">
        <v>117</v>
      </c>
      <c r="C5" t="s">
        <v>22</v>
      </c>
      <c r="D5" s="2">
        <v>26.99</v>
      </c>
      <c r="E5">
        <v>10</v>
      </c>
      <c r="F5">
        <v>6</v>
      </c>
      <c r="G5">
        <v>1</v>
      </c>
      <c r="H5" s="2">
        <f>IFERROR(Table16[[#This Row],[Order Price (Euros)]]/Table16[[#This Row],[Parts per order]],0)</f>
        <v>2.6989999999999998</v>
      </c>
      <c r="I5" s="2">
        <f>Table16[[#This Row],[Part Price (Euros)]]*Table16[[#This Row],[Parts Used]]</f>
        <v>16.193999999999999</v>
      </c>
      <c r="J5" s="2">
        <f>Table16[[#This Row],[Order Price (Euros)]]*Table16[[#This Row],[Order Quantity]]</f>
        <v>26.99</v>
      </c>
      <c r="K5" t="s">
        <v>6</v>
      </c>
      <c r="L5" s="15" t="s">
        <v>24</v>
      </c>
      <c r="M5" t="s">
        <v>47</v>
      </c>
      <c r="N5">
        <f>Table16[[#This Row],[Max Current (A)]]*Table16[[#This Row],[Rated Voltage (V)]]*Table16[[#This Row],[Parts Used]]</f>
        <v>6.6000000000000005</v>
      </c>
      <c r="O5">
        <v>5</v>
      </c>
      <c r="P5">
        <v>0.22</v>
      </c>
    </row>
    <row r="6" spans="2:16" x14ac:dyDescent="0.3">
      <c r="B6" t="s">
        <v>118</v>
      </c>
      <c r="C6" t="s">
        <v>30</v>
      </c>
      <c r="D6" s="2">
        <v>25.99</v>
      </c>
      <c r="E6">
        <v>2</v>
      </c>
      <c r="F6">
        <v>2</v>
      </c>
      <c r="G6">
        <v>1</v>
      </c>
      <c r="H6" s="2">
        <f>IFERROR(Table16[[#This Row],[Order Price (Euros)]]/Table16[[#This Row],[Parts per order]],0)</f>
        <v>12.994999999999999</v>
      </c>
      <c r="I6" s="2">
        <f>Table16[[#This Row],[Part Price (Euros)]]*Table16[[#This Row],[Parts Used]]</f>
        <v>25.99</v>
      </c>
      <c r="J6" s="2">
        <f>Table16[[#This Row],[Order Price (Euros)]]*Table16[[#This Row],[Order Quantity]]</f>
        <v>25.99</v>
      </c>
      <c r="K6" t="s">
        <v>6</v>
      </c>
      <c r="L6" s="15" t="s">
        <v>31</v>
      </c>
      <c r="M6" t="s">
        <v>47</v>
      </c>
      <c r="N6">
        <f>Table16[[#This Row],[Max Current (A)]]*Table16[[#This Row],[Rated Voltage (V)]]*Table16[[#This Row],[Parts Used]]</f>
        <v>18</v>
      </c>
      <c r="O6">
        <v>5</v>
      </c>
      <c r="P6">
        <v>1.8</v>
      </c>
    </row>
    <row r="7" spans="2:16" x14ac:dyDescent="0.3">
      <c r="B7" t="s">
        <v>119</v>
      </c>
      <c r="C7" t="s">
        <v>88</v>
      </c>
      <c r="D7" s="2">
        <f>4*45.11</f>
        <v>180.44</v>
      </c>
      <c r="E7">
        <v>4</v>
      </c>
      <c r="F7">
        <v>4</v>
      </c>
      <c r="G7">
        <v>1</v>
      </c>
      <c r="H7" s="2">
        <f>IFERROR(Table16[[#This Row],[Order Price (Euros)]]/Table16[[#This Row],[Parts per order]],0)</f>
        <v>45.11</v>
      </c>
      <c r="I7" s="2">
        <f>Table16[[#This Row],[Part Price (Euros)]]*Table16[[#This Row],[Parts Used]]</f>
        <v>180.44</v>
      </c>
      <c r="J7" s="2">
        <f>Table16[[#This Row],[Order Price (Euros)]]*Table16[[#This Row],[Order Quantity]]</f>
        <v>180.44</v>
      </c>
      <c r="K7" t="s">
        <v>89</v>
      </c>
      <c r="L7" s="15" t="s">
        <v>90</v>
      </c>
      <c r="M7" t="s">
        <v>47</v>
      </c>
      <c r="N7">
        <f>Table16[[#This Row],[Max Current (A)]]*Table16[[#This Row],[Rated Voltage (V)]]*Table16[[#This Row],[Parts Used]]</f>
        <v>8</v>
      </c>
      <c r="O7">
        <v>5</v>
      </c>
      <c r="P7">
        <v>0.4</v>
      </c>
    </row>
    <row r="8" spans="2:16" x14ac:dyDescent="0.3">
      <c r="B8" t="s">
        <v>120</v>
      </c>
      <c r="C8" t="s">
        <v>34</v>
      </c>
      <c r="D8" s="2">
        <v>135.51</v>
      </c>
      <c r="E8">
        <v>1</v>
      </c>
      <c r="F8">
        <v>1</v>
      </c>
      <c r="G8">
        <v>1</v>
      </c>
      <c r="H8" s="2">
        <f>IFERROR(Table16[[#This Row],[Order Price (Euros)]]/Table16[[#This Row],[Parts per order]],0)</f>
        <v>135.51</v>
      </c>
      <c r="I8" s="2">
        <f>Table16[[#This Row],[Part Price (Euros)]]*Table16[[#This Row],[Parts Used]]</f>
        <v>135.51</v>
      </c>
      <c r="J8" s="2">
        <f>Table16[[#This Row],[Order Price (Euros)]]*Table16[[#This Row],[Order Quantity]]</f>
        <v>135.51</v>
      </c>
      <c r="K8" t="s">
        <v>8</v>
      </c>
      <c r="L8" s="15" t="s">
        <v>33</v>
      </c>
      <c r="M8" t="s">
        <v>47</v>
      </c>
      <c r="N8">
        <f>Table16[[#This Row],[Max Current (A)]]*Table16[[#This Row],[Rated Voltage (V)]]*Table16[[#This Row],[Parts Used]]</f>
        <v>25</v>
      </c>
      <c r="O8">
        <v>5</v>
      </c>
      <c r="P8">
        <v>5</v>
      </c>
    </row>
    <row r="9" spans="2:16" x14ac:dyDescent="0.3">
      <c r="B9" t="s">
        <v>121</v>
      </c>
      <c r="C9" t="s">
        <v>38</v>
      </c>
      <c r="D9" s="2">
        <v>5.92</v>
      </c>
      <c r="E9">
        <v>1</v>
      </c>
      <c r="F9">
        <v>1</v>
      </c>
      <c r="G9">
        <v>1</v>
      </c>
      <c r="H9" s="2">
        <f>IFERROR(Table16[[#This Row],[Order Price (Euros)]]/Table16[[#This Row],[Parts per order]],0)</f>
        <v>5.92</v>
      </c>
      <c r="I9" s="2">
        <f>Table16[[#This Row],[Part Price (Euros)]]*Table16[[#This Row],[Parts Used]]</f>
        <v>5.92</v>
      </c>
      <c r="J9" s="2">
        <f>Table16[[#This Row],[Order Price (Euros)]]*Table16[[#This Row],[Order Quantity]]</f>
        <v>5.92</v>
      </c>
      <c r="K9" t="s">
        <v>8</v>
      </c>
      <c r="L9" s="15" t="s">
        <v>92</v>
      </c>
      <c r="M9" t="s">
        <v>47</v>
      </c>
      <c r="N9">
        <f>Table16[[#This Row],[Max Current (A)]]*Table16[[#This Row],[Rated Voltage (V)]]*Table16[[#This Row],[Parts Used]]</f>
        <v>0</v>
      </c>
    </row>
    <row r="10" spans="2:16" x14ac:dyDescent="0.3">
      <c r="B10" t="s">
        <v>122</v>
      </c>
      <c r="C10" t="s">
        <v>35</v>
      </c>
      <c r="D10" s="2">
        <v>11.48</v>
      </c>
      <c r="E10">
        <v>1</v>
      </c>
      <c r="F10">
        <v>1</v>
      </c>
      <c r="G10">
        <v>1</v>
      </c>
      <c r="H10" s="2">
        <f>IFERROR(Table16[[#This Row],[Order Price (Euros)]]/Table16[[#This Row],[Parts per order]],0)</f>
        <v>11.48</v>
      </c>
      <c r="I10" s="2">
        <f>Table16[[#This Row],[Part Price (Euros)]]*Table16[[#This Row],[Parts Used]]</f>
        <v>11.48</v>
      </c>
      <c r="J10" s="2">
        <f>Table16[[#This Row],[Order Price (Euros)]]*Table16[[#This Row],[Order Quantity]]</f>
        <v>11.48</v>
      </c>
      <c r="K10" t="s">
        <v>8</v>
      </c>
      <c r="L10" s="15" t="s">
        <v>91</v>
      </c>
      <c r="M10" t="s">
        <v>47</v>
      </c>
      <c r="N10">
        <f>Table16[[#This Row],[Max Current (A)]]*Table16[[#This Row],[Rated Voltage (V)]]*Table16[[#This Row],[Parts Used]]</f>
        <v>0</v>
      </c>
    </row>
    <row r="11" spans="2:16" x14ac:dyDescent="0.3">
      <c r="B11" t="s">
        <v>123</v>
      </c>
      <c r="C11" t="s">
        <v>36</v>
      </c>
      <c r="D11" s="2">
        <v>40.520000000000003</v>
      </c>
      <c r="E11">
        <v>1</v>
      </c>
      <c r="F11">
        <v>1</v>
      </c>
      <c r="G11">
        <v>1</v>
      </c>
      <c r="H11" s="2">
        <f>IFERROR(Table16[[#This Row],[Order Price (Euros)]]/Table16[[#This Row],[Parts per order]],0)</f>
        <v>40.520000000000003</v>
      </c>
      <c r="I11" s="2">
        <f>Table16[[#This Row],[Part Price (Euros)]]*Table16[[#This Row],[Parts Used]]</f>
        <v>40.520000000000003</v>
      </c>
      <c r="J11" s="2">
        <f>Table16[[#This Row],[Order Price (Euros)]]*Table16[[#This Row],[Order Quantity]]</f>
        <v>40.520000000000003</v>
      </c>
      <c r="K11" t="s">
        <v>8</v>
      </c>
      <c r="L11" s="15" t="s">
        <v>93</v>
      </c>
      <c r="M11" t="s">
        <v>47</v>
      </c>
      <c r="N11">
        <f>Table16[[#This Row],[Max Current (A)]]*Table16[[#This Row],[Rated Voltage (V)]]*Table16[[#This Row],[Parts Used]]</f>
        <v>0</v>
      </c>
    </row>
    <row r="12" spans="2:16" x14ac:dyDescent="0.3">
      <c r="B12" t="s">
        <v>124</v>
      </c>
      <c r="C12" t="s">
        <v>40</v>
      </c>
      <c r="D12" s="2">
        <v>1.2</v>
      </c>
      <c r="E12">
        <v>1</v>
      </c>
      <c r="F12">
        <v>1</v>
      </c>
      <c r="G12">
        <v>1</v>
      </c>
      <c r="H12" s="2">
        <f>IFERROR(Table16[[#This Row],[Order Price (Euros)]]/Table16[[#This Row],[Parts per order]],0)</f>
        <v>1.2</v>
      </c>
      <c r="I12" s="2">
        <f>Table16[[#This Row],[Part Price (Euros)]]*Table16[[#This Row],[Parts Used]]</f>
        <v>1.2</v>
      </c>
      <c r="J12" s="2">
        <f>Table16[[#This Row],[Order Price (Euros)]]*Table16[[#This Row],[Order Quantity]]</f>
        <v>1.2</v>
      </c>
      <c r="K12" t="s">
        <v>8</v>
      </c>
      <c r="L12" s="15" t="s">
        <v>94</v>
      </c>
      <c r="M12" t="s">
        <v>47</v>
      </c>
      <c r="N12">
        <f>Table16[[#This Row],[Max Current (A)]]*Table16[[#This Row],[Rated Voltage (V)]]*Table16[[#This Row],[Parts Used]]</f>
        <v>0</v>
      </c>
    </row>
    <row r="13" spans="2:16" x14ac:dyDescent="0.3">
      <c r="B13" t="s">
        <v>125</v>
      </c>
      <c r="C13" t="s">
        <v>39</v>
      </c>
      <c r="D13" s="2">
        <v>8.2200000000000006</v>
      </c>
      <c r="E13">
        <v>1</v>
      </c>
      <c r="F13">
        <v>2</v>
      </c>
      <c r="G13">
        <v>2</v>
      </c>
      <c r="H13" s="2">
        <f>IFERROR(Table16[[#This Row],[Order Price (Euros)]]/Table16[[#This Row],[Parts per order]],0)</f>
        <v>8.2200000000000006</v>
      </c>
      <c r="I13" s="2">
        <f>Table16[[#This Row],[Part Price (Euros)]]*Table16[[#This Row],[Parts Used]]</f>
        <v>16.440000000000001</v>
      </c>
      <c r="J13" s="2">
        <f>Table16[[#This Row],[Order Price (Euros)]]*Table16[[#This Row],[Order Quantity]]</f>
        <v>16.440000000000001</v>
      </c>
      <c r="K13" t="s">
        <v>8</v>
      </c>
      <c r="L13" s="15" t="s">
        <v>95</v>
      </c>
      <c r="M13" t="s">
        <v>47</v>
      </c>
      <c r="N13">
        <f>Table16[[#This Row],[Max Current (A)]]*Table16[[#This Row],[Rated Voltage (V)]]*Table16[[#This Row],[Parts Used]]</f>
        <v>0</v>
      </c>
    </row>
    <row r="14" spans="2:16" x14ac:dyDescent="0.3">
      <c r="B14" t="s">
        <v>126</v>
      </c>
      <c r="C14" t="s">
        <v>226</v>
      </c>
      <c r="D14" s="2">
        <v>9.91</v>
      </c>
      <c r="E14">
        <v>1</v>
      </c>
      <c r="F14">
        <v>3</v>
      </c>
      <c r="G14">
        <v>3</v>
      </c>
      <c r="H14" s="2">
        <f>IFERROR(Table16[[#This Row],[Order Price (Euros)]]/Table16[[#This Row],[Parts per order]],0)</f>
        <v>9.91</v>
      </c>
      <c r="I14" s="2">
        <f>Table16[[#This Row],[Part Price (Euros)]]*Table16[[#This Row],[Parts Used]]</f>
        <v>29.73</v>
      </c>
      <c r="J14" s="2">
        <f>Table16[[#This Row],[Order Price (Euros)]]*Table16[[#This Row],[Order Quantity]]</f>
        <v>29.73</v>
      </c>
      <c r="K14" t="s">
        <v>6</v>
      </c>
      <c r="L14" s="15" t="s">
        <v>97</v>
      </c>
      <c r="M14" t="s">
        <v>47</v>
      </c>
      <c r="N14">
        <f>Table16[[#This Row],[Max Current (A)]]*Table16[[#This Row],[Rated Voltage (V)]]*Table16[[#This Row],[Parts Used]]</f>
        <v>0</v>
      </c>
    </row>
    <row r="15" spans="2:16" x14ac:dyDescent="0.3">
      <c r="B15" t="s">
        <v>127</v>
      </c>
      <c r="C15" t="s">
        <v>50</v>
      </c>
      <c r="D15" s="2">
        <v>59.99</v>
      </c>
      <c r="E15">
        <v>1</v>
      </c>
      <c r="F15">
        <v>1</v>
      </c>
      <c r="G15">
        <v>1</v>
      </c>
      <c r="H15" s="2">
        <f>IFERROR(Table16[[#This Row],[Order Price (Euros)]]/Table16[[#This Row],[Parts per order]],0)</f>
        <v>59.99</v>
      </c>
      <c r="I15" s="2">
        <f>Table16[[#This Row],[Part Price (Euros)]]*Table16[[#This Row],[Parts Used]]</f>
        <v>59.99</v>
      </c>
      <c r="J15" s="2">
        <f>Table16[[#This Row],[Order Price (Euros)]]*Table16[[#This Row],[Order Quantity]]</f>
        <v>59.99</v>
      </c>
      <c r="K15" t="s">
        <v>6</v>
      </c>
      <c r="L15" t="s">
        <v>229</v>
      </c>
      <c r="M15" t="s">
        <v>47</v>
      </c>
      <c r="N15">
        <f>Table16[[#This Row],[Max Current (A)]]*Table16[[#This Row],[Rated Voltage (V)]]*Table16[[#This Row],[Parts Used]]</f>
        <v>0</v>
      </c>
    </row>
    <row r="16" spans="2:16" x14ac:dyDescent="0.3">
      <c r="B16" t="s">
        <v>128</v>
      </c>
      <c r="C16" t="s">
        <v>51</v>
      </c>
      <c r="D16" s="2">
        <v>10.49</v>
      </c>
      <c r="E16">
        <v>3</v>
      </c>
      <c r="F16">
        <v>1</v>
      </c>
      <c r="G16">
        <v>1</v>
      </c>
      <c r="H16" s="2">
        <f>IFERROR(Table16[[#This Row],[Order Price (Euros)]]/Table16[[#This Row],[Parts per order]],0)</f>
        <v>3.4966666666666666</v>
      </c>
      <c r="I16" s="2">
        <f>Table16[[#This Row],[Part Price (Euros)]]*Table16[[#This Row],[Parts Used]]</f>
        <v>3.4966666666666666</v>
      </c>
      <c r="J16" s="2">
        <f>Table16[[#This Row],[Order Price (Euros)]]*Table16[[#This Row],[Order Quantity]]</f>
        <v>10.49</v>
      </c>
      <c r="K16" t="s">
        <v>6</v>
      </c>
      <c r="L16" s="15" t="s">
        <v>52</v>
      </c>
      <c r="M16" t="s">
        <v>47</v>
      </c>
      <c r="N16">
        <f>Table16[[#This Row],[Max Current (A)]]*Table16[[#This Row],[Rated Voltage (V)]]*Table16[[#This Row],[Parts Used]]</f>
        <v>0</v>
      </c>
    </row>
    <row r="17" spans="2:14" x14ac:dyDescent="0.3">
      <c r="B17" t="s">
        <v>129</v>
      </c>
      <c r="C17" t="s">
        <v>53</v>
      </c>
      <c r="D17" s="2">
        <v>8.99</v>
      </c>
      <c r="E17">
        <v>5</v>
      </c>
      <c r="F17">
        <v>1</v>
      </c>
      <c r="G17">
        <v>1</v>
      </c>
      <c r="H17" s="2">
        <f>IFERROR(Table16[[#This Row],[Order Price (Euros)]]/Table16[[#This Row],[Parts per order]],0)</f>
        <v>1.798</v>
      </c>
      <c r="I17" s="2">
        <f>Table16[[#This Row],[Part Price (Euros)]]*Table16[[#This Row],[Parts Used]]</f>
        <v>1.798</v>
      </c>
      <c r="J17" s="2">
        <f>Table16[[#This Row],[Order Price (Euros)]]*Table16[[#This Row],[Order Quantity]]</f>
        <v>8.99</v>
      </c>
      <c r="K17" t="s">
        <v>6</v>
      </c>
      <c r="L17" s="15" t="s">
        <v>54</v>
      </c>
      <c r="M17" t="s">
        <v>47</v>
      </c>
      <c r="N17">
        <f>Table16[[#This Row],[Max Current (A)]]*Table16[[#This Row],[Rated Voltage (V)]]*Table16[[#This Row],[Parts Used]]</f>
        <v>0</v>
      </c>
    </row>
    <row r="18" spans="2:14" x14ac:dyDescent="0.3">
      <c r="B18" t="s">
        <v>130</v>
      </c>
      <c r="C18" t="s">
        <v>55</v>
      </c>
      <c r="D18" s="2">
        <v>22.98</v>
      </c>
      <c r="E18">
        <v>1</v>
      </c>
      <c r="F18">
        <v>1</v>
      </c>
      <c r="G18">
        <v>1</v>
      </c>
      <c r="H18" s="2">
        <f>IFERROR(Table16[[#This Row],[Order Price (Euros)]]/Table16[[#This Row],[Parts per order]],0)</f>
        <v>22.98</v>
      </c>
      <c r="I18" s="2">
        <f>Table16[[#This Row],[Part Price (Euros)]]*Table16[[#This Row],[Parts Used]]</f>
        <v>22.98</v>
      </c>
      <c r="J18" s="2">
        <f>Table16[[#This Row],[Order Price (Euros)]]*Table16[[#This Row],[Order Quantity]]</f>
        <v>22.98</v>
      </c>
      <c r="K18" t="s">
        <v>8</v>
      </c>
      <c r="L18" s="15" t="s">
        <v>56</v>
      </c>
      <c r="M18" t="s">
        <v>47</v>
      </c>
      <c r="N18">
        <f>Table16[[#This Row],[Max Current (A)]]*Table16[[#This Row],[Rated Voltage (V)]]*Table16[[#This Row],[Parts Used]]</f>
        <v>0</v>
      </c>
    </row>
  </sheetData>
  <phoneticPr fontId="3" type="noConversion"/>
  <hyperlinks>
    <hyperlink ref="L4" r:id="rId1" xr:uid="{1597E84A-1B3D-4E69-90F6-E9C439A782DE}"/>
    <hyperlink ref="L5" r:id="rId2" display="https://www.amazon.nl/-/en/Miuzei-Degree-Arduino-Building-Airplane/dp/B0D7ZW6LSW/ref=sr_1_1?crid=2N57DUX6R0AHI&amp;dib=eyJ2IjoiMSJ9.h3ZwD21amosGoaWQ_NC1EQfJMHC-RwfjVwdsn5_5LqiNdQqiHE5rlgvsahqeUoDEnawGrLsTTk-LnbpFpg3KZU1SrjIwhZYHrN7LbXJleG5Hj5BJMar8oNTrbTKj4xdJBNgxemSK_jjhXLuFXFfdoo5hQ5zKiQy79GYIRiJyIiSUjTQD8OS-G6qYmyytlPD4fnEQMKY5ySxgHITmuamMV79OkmPb4wxHsDiHEAhKxquUKMfj5s2fdIQbSbUUCBoiAATgtA6SZHCF4b2bGDA9x2QRguUq8jIrrvKY1SF_P5o.WC0JzjZez5sdxVZBji3s2b4Oqr_I8LFeuWWChTFK4tY&amp;dib_tag=se&amp;keywords=Miuzei%2BServomotor&amp;qid=1745937814&amp;sprefix=miuzei%2Bservomotor%2Caps%2C75&amp;sr=8-1&amp;th=1" xr:uid="{845E3AA8-9676-49BA-83A7-EE94CA98ACE2}"/>
    <hyperlink ref="L6" r:id="rId3" xr:uid="{948B40B2-38BB-43D5-99DD-EBFD8A4B52D0}"/>
    <hyperlink ref="L7" r:id="rId4" xr:uid="{AABD57D5-1C17-4409-AE0B-D78D876CD2CF}"/>
    <hyperlink ref="L8" r:id="rId5" xr:uid="{A71BE459-E6BF-4653-A242-792D6F63A7AD}"/>
    <hyperlink ref="L9" r:id="rId6" xr:uid="{8DF865ED-A215-4D49-972A-746060A406A2}"/>
    <hyperlink ref="L10" r:id="rId7" xr:uid="{04734BA2-7D30-4406-A2A1-93C8BC50032D}"/>
    <hyperlink ref="L11" r:id="rId8" xr:uid="{29BCF822-A858-4D57-8855-927A26E6E2EC}"/>
    <hyperlink ref="L12" r:id="rId9" xr:uid="{CAA030D1-38BF-486E-BD51-41E7F4318E7E}"/>
    <hyperlink ref="L13" r:id="rId10" xr:uid="{BD373D5E-964F-47B8-B7F7-0744992602DC}"/>
    <hyperlink ref="L14" r:id="rId11" xr:uid="{69E29586-BB2A-4E86-9DD9-F8023561AD02}"/>
    <hyperlink ref="L16" r:id="rId12" xr:uid="{81BBED07-1E14-40D2-B6D8-F3E221159649}"/>
    <hyperlink ref="L17" r:id="rId13" xr:uid="{D64E5811-C598-4854-BBF6-B27027255AFD}"/>
    <hyperlink ref="L18" r:id="rId14" xr:uid="{62A0A02E-5756-490D-B3B7-A3A1693034E2}"/>
  </hyperlinks>
  <pageMargins left="0.7" right="0.7" top="0.75" bottom="0.75" header="0.3" footer="0.3"/>
  <tableParts count="1">
    <tablePart r:id="rId1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FEA2F5-7157-4EB0-A22F-58CB8C035752}">
          <x14:formula1>
            <xm:f>Info!$B$4:$B$13</xm:f>
          </x14:formula1>
          <xm:sqref>K4:K18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7AC05-69E3-4AB8-AB3C-0EC7450C0EAE}">
  <dimension ref="B3:M5"/>
  <sheetViews>
    <sheetView workbookViewId="0">
      <selection activeCell="K4" sqref="K4:L5"/>
    </sheetView>
  </sheetViews>
  <sheetFormatPr defaultRowHeight="14.4" x14ac:dyDescent="0.3"/>
  <cols>
    <col min="2" max="2" width="9.109375" bestFit="1" customWidth="1"/>
    <col min="3" max="3" width="12.21875" bestFit="1" customWidth="1"/>
    <col min="4" max="4" width="21" bestFit="1" customWidth="1"/>
    <col min="5" max="6" width="16.21875" bestFit="1" customWidth="1"/>
    <col min="7" max="7" width="19.44140625" bestFit="1" customWidth="1"/>
    <col min="8" max="8" width="21.88671875" bestFit="1" customWidth="1"/>
    <col min="9" max="9" width="21.88671875" customWidth="1"/>
    <col min="10" max="10" width="10.109375" bestFit="1" customWidth="1"/>
    <col min="11" max="11" width="6.77734375" bestFit="1" customWidth="1"/>
    <col min="12" max="13" width="12.6640625" bestFit="1" customWidth="1"/>
  </cols>
  <sheetData>
    <row r="3" spans="2:13" x14ac:dyDescent="0.3">
      <c r="B3" t="s">
        <v>0</v>
      </c>
      <c r="C3" t="s">
        <v>2</v>
      </c>
      <c r="D3" s="2" t="s">
        <v>23</v>
      </c>
      <c r="E3" t="s">
        <v>25</v>
      </c>
      <c r="F3" t="s">
        <v>28</v>
      </c>
      <c r="G3" t="s">
        <v>21</v>
      </c>
      <c r="H3" s="2" t="s">
        <v>12</v>
      </c>
      <c r="I3" s="2" t="s">
        <v>27</v>
      </c>
      <c r="J3" s="2" t="s">
        <v>11</v>
      </c>
      <c r="K3" t="s">
        <v>3</v>
      </c>
      <c r="L3" t="s">
        <v>4</v>
      </c>
      <c r="M3" t="s">
        <v>26</v>
      </c>
    </row>
    <row r="4" spans="2:13" x14ac:dyDescent="0.3">
      <c r="B4" t="s">
        <v>136</v>
      </c>
      <c r="C4" t="s">
        <v>19</v>
      </c>
      <c r="D4" s="2">
        <v>2.5</v>
      </c>
      <c r="E4">
        <v>1</v>
      </c>
      <c r="F4">
        <v>1</v>
      </c>
      <c r="G4">
        <v>1</v>
      </c>
      <c r="H4" s="2">
        <f>IFERROR(Table1611[[#This Row],[Order Price (Euros)]]/Table1611[[#This Row],[Parts per order]],0)</f>
        <v>2.5</v>
      </c>
      <c r="I4" s="2">
        <f>Table1611[[#This Row],[Part Price (Euros)]]*Table1611[[#This Row],[Parts Used]]</f>
        <v>2.5</v>
      </c>
      <c r="J4" s="2">
        <f>Table1611[[#This Row],[Order Price (Euros)]]*Table1611[[#This Row],[Order Quantity]]</f>
        <v>2.5</v>
      </c>
      <c r="K4" t="s">
        <v>8</v>
      </c>
      <c r="L4" t="s">
        <v>99</v>
      </c>
      <c r="M4">
        <v>0.5</v>
      </c>
    </row>
    <row r="5" spans="2:13" x14ac:dyDescent="0.3">
      <c r="B5" t="s">
        <v>137</v>
      </c>
      <c r="C5" t="s">
        <v>57</v>
      </c>
      <c r="D5" s="2">
        <v>4.22</v>
      </c>
      <c r="E5">
        <v>40</v>
      </c>
      <c r="F5" s="3">
        <v>15</v>
      </c>
      <c r="G5">
        <v>1</v>
      </c>
      <c r="H5" s="2">
        <f>IFERROR(Table1611[[#This Row],[Order Price (Euros)]]/Table1611[[#This Row],[Parts per order]],0)</f>
        <v>0.1055</v>
      </c>
      <c r="I5" s="2">
        <f>Table1611[[#This Row],[Part Price (Euros)]]*Table1611[[#This Row],[Parts Used]]</f>
        <v>1.5825</v>
      </c>
      <c r="J5" s="2">
        <f>Table1611[[#This Row],[Order Price (Euros)]]*Table1611[[#This Row],[Order Quantity]]</f>
        <v>4.22</v>
      </c>
      <c r="K5" t="s">
        <v>8</v>
      </c>
      <c r="L5" t="s">
        <v>98</v>
      </c>
      <c r="M5">
        <v>0.02</v>
      </c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BA689AF-7679-4E98-93B6-C552136B1D31}">
          <x14:formula1>
            <xm:f>Info!$B$4:$B$13</xm:f>
          </x14:formula1>
          <xm:sqref>K4:K5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BA21-01DF-4B0A-8B31-8EA91A5C4CB4}">
  <dimension ref="B3:M14"/>
  <sheetViews>
    <sheetView topLeftCell="A2" workbookViewId="0">
      <selection activeCell="L8" sqref="L8"/>
    </sheetView>
  </sheetViews>
  <sheetFormatPr defaultRowHeight="14.4" x14ac:dyDescent="0.3"/>
  <cols>
    <col min="2" max="2" width="9.109375" bestFit="1" customWidth="1"/>
    <col min="3" max="3" width="12.21875" bestFit="1" customWidth="1"/>
    <col min="4" max="4" width="21" bestFit="1" customWidth="1"/>
    <col min="5" max="6" width="16.21875" bestFit="1" customWidth="1"/>
    <col min="7" max="7" width="19.44140625" bestFit="1" customWidth="1"/>
    <col min="8" max="8" width="21.88671875" bestFit="1" customWidth="1"/>
    <col min="9" max="9" width="21.88671875" customWidth="1"/>
    <col min="10" max="10" width="19" bestFit="1" customWidth="1"/>
    <col min="11" max="11" width="10.44140625" bestFit="1" customWidth="1"/>
  </cols>
  <sheetData>
    <row r="3" spans="2:13" x14ac:dyDescent="0.3">
      <c r="B3" t="s">
        <v>0</v>
      </c>
      <c r="C3" t="s">
        <v>2</v>
      </c>
      <c r="D3" s="2" t="s">
        <v>23</v>
      </c>
      <c r="E3" t="s">
        <v>25</v>
      </c>
      <c r="F3" t="s">
        <v>28</v>
      </c>
      <c r="G3" t="s">
        <v>21</v>
      </c>
      <c r="H3" s="2" t="s">
        <v>12</v>
      </c>
      <c r="I3" s="2" t="s">
        <v>27</v>
      </c>
      <c r="J3" s="2" t="s">
        <v>11</v>
      </c>
      <c r="K3" s="2" t="s">
        <v>3</v>
      </c>
      <c r="L3" s="2" t="s">
        <v>4</v>
      </c>
    </row>
    <row r="4" spans="2:13" x14ac:dyDescent="0.3">
      <c r="B4" t="s">
        <v>131</v>
      </c>
      <c r="C4" t="s">
        <v>43</v>
      </c>
      <c r="D4" s="2">
        <v>10</v>
      </c>
      <c r="E4">
        <v>100</v>
      </c>
      <c r="F4" s="3">
        <v>20</v>
      </c>
      <c r="G4">
        <v>1</v>
      </c>
      <c r="H4" s="2">
        <f>IFERROR(Table15[[#This Row],[Order Price (Euros)]]/Table15[[#This Row],[Parts per order]],0)</f>
        <v>0.1</v>
      </c>
      <c r="I4" s="2">
        <f>Table15[[#This Row],[Part Price (Euros)]]*Table15[[#This Row],[Parts Used]]</f>
        <v>2</v>
      </c>
      <c r="J4" s="2">
        <f>Table15[[#This Row],[Order Price (Euros)]]*Table15[[#This Row],[Order Quantity]]</f>
        <v>10</v>
      </c>
      <c r="K4" s="2" t="s">
        <v>41</v>
      </c>
      <c r="L4" s="2" t="s">
        <v>45</v>
      </c>
      <c r="M4" t="s">
        <v>47</v>
      </c>
    </row>
    <row r="5" spans="2:13" x14ac:dyDescent="0.3">
      <c r="B5" t="s">
        <v>132</v>
      </c>
      <c r="C5" t="s">
        <v>44</v>
      </c>
      <c r="D5" s="2">
        <v>10</v>
      </c>
      <c r="E5">
        <v>100</v>
      </c>
      <c r="F5" s="3">
        <v>20</v>
      </c>
      <c r="G5">
        <v>1</v>
      </c>
      <c r="H5" s="2">
        <f>IFERROR(Table15[[#This Row],[Order Price (Euros)]]/Table15[[#This Row],[Parts per order]],0)</f>
        <v>0.1</v>
      </c>
      <c r="I5" s="2">
        <f>Table15[[#This Row],[Part Price (Euros)]]*Table15[[#This Row],[Parts Used]]</f>
        <v>2</v>
      </c>
      <c r="J5" s="2">
        <f>Table15[[#This Row],[Order Price (Euros)]]*Table15[[#This Row],[Order Quantity]]</f>
        <v>10</v>
      </c>
      <c r="K5" s="2" t="s">
        <v>41</v>
      </c>
      <c r="L5" s="2" t="s">
        <v>46</v>
      </c>
      <c r="M5" t="s">
        <v>47</v>
      </c>
    </row>
    <row r="6" spans="2:13" x14ac:dyDescent="0.3">
      <c r="B6" t="s">
        <v>133</v>
      </c>
      <c r="C6" t="s">
        <v>59</v>
      </c>
      <c r="D6" s="2">
        <v>5.74</v>
      </c>
      <c r="E6">
        <v>25</v>
      </c>
      <c r="F6" s="3">
        <v>20</v>
      </c>
      <c r="G6">
        <v>1</v>
      </c>
      <c r="H6" s="2">
        <f>IFERROR(Table15[[#This Row],[Order Price (Euros)]]/Table15[[#This Row],[Parts per order]],0)</f>
        <v>0.2296</v>
      </c>
      <c r="I6" s="2">
        <f>Table15[[#This Row],[Part Price (Euros)]]*Table15[[#This Row],[Parts Used]]</f>
        <v>4.5919999999999996</v>
      </c>
      <c r="J6" s="2">
        <f>Table15[[#This Row],[Order Price (Euros)]]*Table15[[#This Row],[Order Quantity]]</f>
        <v>5.74</v>
      </c>
      <c r="K6" s="2" t="s">
        <v>41</v>
      </c>
      <c r="L6" s="2" t="s">
        <v>101</v>
      </c>
      <c r="M6" t="s">
        <v>47</v>
      </c>
    </row>
    <row r="7" spans="2:13" x14ac:dyDescent="0.3">
      <c r="B7" t="s">
        <v>134</v>
      </c>
      <c r="C7" t="s">
        <v>58</v>
      </c>
      <c r="D7" s="2">
        <v>6.64</v>
      </c>
      <c r="E7">
        <v>25</v>
      </c>
      <c r="F7" s="3">
        <v>20</v>
      </c>
      <c r="G7">
        <v>1</v>
      </c>
      <c r="H7" s="2">
        <f>IFERROR(Table15[[#This Row],[Order Price (Euros)]]/Table15[[#This Row],[Parts per order]],0)</f>
        <v>0.2656</v>
      </c>
      <c r="I7" s="2">
        <f>Table15[[#This Row],[Part Price (Euros)]]*Table15[[#This Row],[Parts Used]]</f>
        <v>5.3120000000000003</v>
      </c>
      <c r="J7" s="2">
        <f>Table15[[#This Row],[Order Price (Euros)]]*Table15[[#This Row],[Order Quantity]]</f>
        <v>6.64</v>
      </c>
      <c r="K7" s="2" t="s">
        <v>41</v>
      </c>
      <c r="L7" s="2" t="s">
        <v>100</v>
      </c>
      <c r="M7" t="s">
        <v>47</v>
      </c>
    </row>
    <row r="8" spans="2:13" x14ac:dyDescent="0.3">
      <c r="B8" t="s">
        <v>135</v>
      </c>
      <c r="C8" t="s">
        <v>60</v>
      </c>
      <c r="D8" s="2">
        <v>9.9499999999999993</v>
      </c>
      <c r="E8">
        <v>100</v>
      </c>
      <c r="F8" s="3">
        <v>10</v>
      </c>
      <c r="G8">
        <v>1</v>
      </c>
      <c r="H8" s="2">
        <f>IFERROR(Table15[[#This Row],[Order Price (Euros)]]/Table15[[#This Row],[Parts per order]],0)</f>
        <v>9.9499999999999991E-2</v>
      </c>
      <c r="I8" s="2">
        <f>Table15[[#This Row],[Part Price (Euros)]]*Table15[[#This Row],[Parts Used]]</f>
        <v>0.99499999999999988</v>
      </c>
      <c r="J8" s="2">
        <f>Table15[[#This Row],[Order Price (Euros)]]*Table15[[#This Row],[Order Quantity]]</f>
        <v>9.9499999999999993</v>
      </c>
      <c r="K8" s="2" t="s">
        <v>7</v>
      </c>
      <c r="L8" s="5" t="s">
        <v>227</v>
      </c>
      <c r="M8" t="s">
        <v>47</v>
      </c>
    </row>
    <row r="9" spans="2:13" x14ac:dyDescent="0.3">
      <c r="B9" t="s">
        <v>159</v>
      </c>
      <c r="C9" t="s">
        <v>160</v>
      </c>
      <c r="D9" s="2">
        <v>2.37</v>
      </c>
      <c r="E9">
        <v>1</v>
      </c>
      <c r="F9">
        <v>4</v>
      </c>
      <c r="G9">
        <v>4</v>
      </c>
      <c r="H9" s="2">
        <f>IFERROR(Table15[[#This Row],[Order Price (Euros)]]/Table15[[#This Row],[Parts per order]],0)</f>
        <v>2.37</v>
      </c>
      <c r="I9" s="2">
        <f>Table15[[#This Row],[Part Price (Euros)]]*Table15[[#This Row],[Parts Used]]</f>
        <v>9.48</v>
      </c>
      <c r="J9" s="2">
        <f>Table15[[#This Row],[Order Price (Euros)]]*Table15[[#This Row],[Order Quantity]]</f>
        <v>9.48</v>
      </c>
      <c r="K9" s="2" t="s">
        <v>161</v>
      </c>
      <c r="L9" s="2" t="s">
        <v>162</v>
      </c>
      <c r="M9" t="s">
        <v>47</v>
      </c>
    </row>
    <row r="10" spans="2:13" x14ac:dyDescent="0.3">
      <c r="M10" t="s">
        <v>47</v>
      </c>
    </row>
    <row r="11" spans="2:13" x14ac:dyDescent="0.3">
      <c r="M11" t="s">
        <v>47</v>
      </c>
    </row>
    <row r="12" spans="2:13" x14ac:dyDescent="0.3">
      <c r="M12" t="s">
        <v>47</v>
      </c>
    </row>
    <row r="13" spans="2:13" x14ac:dyDescent="0.3">
      <c r="M13" t="s">
        <v>47</v>
      </c>
    </row>
    <row r="14" spans="2:13" x14ac:dyDescent="0.3">
      <c r="M14" t="s">
        <v>47</v>
      </c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1B264CA-5667-4F9D-95C4-1E017C8C58AA}">
          <x14:formula1>
            <xm:f>Info!$B$4:$B$13</xm:f>
          </x14:formula1>
          <xm:sqref>K4:K9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E52CC-8435-4B53-8D48-19696E416BBF}">
  <dimension ref="B3:L28"/>
  <sheetViews>
    <sheetView workbookViewId="0">
      <selection activeCell="N18" sqref="N18"/>
    </sheetView>
  </sheetViews>
  <sheetFormatPr defaultRowHeight="14.4" x14ac:dyDescent="0.3"/>
  <cols>
    <col min="2" max="2" width="9.109375" bestFit="1" customWidth="1"/>
    <col min="3" max="3" width="12.21875" bestFit="1" customWidth="1"/>
    <col min="4" max="4" width="21" style="2" bestFit="1" customWidth="1"/>
    <col min="5" max="6" width="16.21875" bestFit="1" customWidth="1"/>
    <col min="7" max="7" width="19.44140625" bestFit="1" customWidth="1"/>
    <col min="8" max="8" width="21.88671875" bestFit="1" customWidth="1"/>
    <col min="9" max="9" width="21.88671875" customWidth="1"/>
    <col min="10" max="11" width="11" bestFit="1" customWidth="1"/>
  </cols>
  <sheetData>
    <row r="3" spans="2:12" x14ac:dyDescent="0.3">
      <c r="B3" t="s">
        <v>0</v>
      </c>
      <c r="C3" t="s">
        <v>2</v>
      </c>
      <c r="D3" s="2" t="s">
        <v>23</v>
      </c>
      <c r="E3" t="s">
        <v>25</v>
      </c>
      <c r="F3" t="s">
        <v>28</v>
      </c>
      <c r="G3" t="s">
        <v>21</v>
      </c>
      <c r="H3" s="2" t="s">
        <v>12</v>
      </c>
      <c r="I3" s="2" t="s">
        <v>27</v>
      </c>
      <c r="J3" s="2" t="s">
        <v>11</v>
      </c>
      <c r="K3" s="2" t="s">
        <v>3</v>
      </c>
      <c r="L3" s="2" t="s">
        <v>4</v>
      </c>
    </row>
    <row r="4" spans="2:12" x14ac:dyDescent="0.3">
      <c r="H4" s="2">
        <f>IFERROR(Table1[[#This Row],[Order Price (Euros)]]/Table1[[#This Row],[Parts per order]],0)</f>
        <v>0</v>
      </c>
      <c r="I4" s="2">
        <f>Table1[[#This Row],[Part Price (Euros)]]*Table1[[#This Row],[Parts Used]]</f>
        <v>0</v>
      </c>
      <c r="J4" s="2">
        <f>Table1[[#This Row],[Order Price (Euros)]]*Table1[[#This Row],[Order Quantity]]</f>
        <v>0</v>
      </c>
      <c r="K4" s="2"/>
      <c r="L4" s="2"/>
    </row>
    <row r="5" spans="2:12" x14ac:dyDescent="0.3">
      <c r="H5" s="2">
        <f>IFERROR(Table1[[#This Row],[Order Price (Euros)]]/Table1[[#This Row],[Parts per order]],0)</f>
        <v>0</v>
      </c>
      <c r="I5" s="2">
        <f>Table1[[#This Row],[Part Price (Euros)]]*Table1[[#This Row],[Parts Used]]</f>
        <v>0</v>
      </c>
      <c r="J5" s="2">
        <f>Table1[[#This Row],[Order Price (Euros)]]*Table1[[#This Row],[Order Quantity]]</f>
        <v>0</v>
      </c>
      <c r="K5" s="2"/>
      <c r="L5" s="2"/>
    </row>
    <row r="6" spans="2:12" x14ac:dyDescent="0.3">
      <c r="H6" s="2">
        <f>IFERROR(Table1[[#This Row],[Order Price (Euros)]]/Table1[[#This Row],[Parts per order]],0)</f>
        <v>0</v>
      </c>
      <c r="I6" s="2">
        <f>Table1[[#This Row],[Part Price (Euros)]]*Table1[[#This Row],[Parts Used]]</f>
        <v>0</v>
      </c>
      <c r="J6" s="2">
        <f>Table1[[#This Row],[Order Price (Euros)]]*Table1[[#This Row],[Order Quantity]]</f>
        <v>0</v>
      </c>
      <c r="K6" s="2"/>
      <c r="L6" s="2"/>
    </row>
    <row r="7" spans="2:12" x14ac:dyDescent="0.3">
      <c r="H7" s="2">
        <f>IFERROR(Table1[[#This Row],[Order Price (Euros)]]/Table1[[#This Row],[Parts per order]],0)</f>
        <v>0</v>
      </c>
      <c r="I7" s="2">
        <f>Table1[[#This Row],[Part Price (Euros)]]*Table1[[#This Row],[Parts Used]]</f>
        <v>0</v>
      </c>
      <c r="J7" s="2">
        <f>Table1[[#This Row],[Order Price (Euros)]]*Table1[[#This Row],[Order Quantity]]</f>
        <v>0</v>
      </c>
      <c r="K7" s="2"/>
      <c r="L7" s="2"/>
    </row>
    <row r="8" spans="2:12" x14ac:dyDescent="0.3">
      <c r="H8" s="2">
        <f>IFERROR(Table1[[#This Row],[Order Price (Euros)]]/Table1[[#This Row],[Parts per order]],0)</f>
        <v>0</v>
      </c>
      <c r="I8" s="2">
        <f>Table1[[#This Row],[Part Price (Euros)]]*Table1[[#This Row],[Parts Used]]</f>
        <v>0</v>
      </c>
      <c r="J8" s="2">
        <f>Table1[[#This Row],[Order Price (Euros)]]*Table1[[#This Row],[Order Quantity]]</f>
        <v>0</v>
      </c>
      <c r="K8" s="2"/>
      <c r="L8" s="2"/>
    </row>
    <row r="9" spans="2:12" x14ac:dyDescent="0.3">
      <c r="H9" s="2">
        <f>IFERROR(Table1[[#This Row],[Order Price (Euros)]]/Table1[[#This Row],[Parts per order]],0)</f>
        <v>0</v>
      </c>
      <c r="I9" s="2">
        <f>Table1[[#This Row],[Part Price (Euros)]]*Table1[[#This Row],[Parts Used]]</f>
        <v>0</v>
      </c>
      <c r="J9" s="2">
        <f>Table1[[#This Row],[Order Price (Euros)]]*Table1[[#This Row],[Order Quantity]]</f>
        <v>0</v>
      </c>
      <c r="K9" s="2"/>
      <c r="L9" s="2"/>
    </row>
    <row r="10" spans="2:12" x14ac:dyDescent="0.3">
      <c r="H10" s="2">
        <f>IFERROR(Table1[[#This Row],[Order Price (Euros)]]/Table1[[#This Row],[Parts per order]],0)</f>
        <v>0</v>
      </c>
      <c r="I10" s="2">
        <f>Table1[[#This Row],[Part Price (Euros)]]*Table1[[#This Row],[Parts Used]]</f>
        <v>0</v>
      </c>
      <c r="J10" s="2">
        <f>Table1[[#This Row],[Order Price (Euros)]]*Table1[[#This Row],[Order Quantity]]</f>
        <v>0</v>
      </c>
      <c r="K10" s="2"/>
      <c r="L10" s="2"/>
    </row>
    <row r="11" spans="2:12" x14ac:dyDescent="0.3">
      <c r="H11" s="2">
        <f>IFERROR(Table1[[#This Row],[Order Price (Euros)]]/Table1[[#This Row],[Parts per order]],0)</f>
        <v>0</v>
      </c>
      <c r="I11" s="2">
        <f>Table1[[#This Row],[Part Price (Euros)]]*Table1[[#This Row],[Parts Used]]</f>
        <v>0</v>
      </c>
      <c r="J11" s="2">
        <f>Table1[[#This Row],[Order Price (Euros)]]*Table1[[#This Row],[Order Quantity]]</f>
        <v>0</v>
      </c>
      <c r="K11" s="2"/>
      <c r="L11" s="2"/>
    </row>
    <row r="12" spans="2:12" x14ac:dyDescent="0.3">
      <c r="H12" s="2">
        <f>IFERROR(Table1[[#This Row],[Order Price (Euros)]]/Table1[[#This Row],[Parts per order]],0)</f>
        <v>0</v>
      </c>
      <c r="I12" s="2">
        <f>Table1[[#This Row],[Part Price (Euros)]]*Table1[[#This Row],[Parts Used]]</f>
        <v>0</v>
      </c>
      <c r="J12" s="2">
        <f>Table1[[#This Row],[Order Price (Euros)]]*Table1[[#This Row],[Order Quantity]]</f>
        <v>0</v>
      </c>
      <c r="K12" s="2"/>
      <c r="L12" s="2"/>
    </row>
    <row r="13" spans="2:12" x14ac:dyDescent="0.3">
      <c r="H13" s="2">
        <f>IFERROR(Table1[[#This Row],[Order Price (Euros)]]/Table1[[#This Row],[Parts per order]],0)</f>
        <v>0</v>
      </c>
      <c r="I13" s="2">
        <f>Table1[[#This Row],[Part Price (Euros)]]*Table1[[#This Row],[Parts Used]]</f>
        <v>0</v>
      </c>
      <c r="J13" s="2">
        <f>Table1[[#This Row],[Order Price (Euros)]]*Table1[[#This Row],[Order Quantity]]</f>
        <v>0</v>
      </c>
      <c r="K13" s="2"/>
      <c r="L13" s="2"/>
    </row>
    <row r="14" spans="2:12" x14ac:dyDescent="0.3">
      <c r="H14" s="2">
        <f>IFERROR(Table1[[#This Row],[Order Price (Euros)]]/Table1[[#This Row],[Parts per order]],0)</f>
        <v>0</v>
      </c>
      <c r="I14" s="2">
        <f>Table1[[#This Row],[Part Price (Euros)]]*Table1[[#This Row],[Parts Used]]</f>
        <v>0</v>
      </c>
      <c r="J14" s="2">
        <f>Table1[[#This Row],[Order Price (Euros)]]*Table1[[#This Row],[Order Quantity]]</f>
        <v>0</v>
      </c>
      <c r="K14" s="2"/>
      <c r="L14" s="2"/>
    </row>
    <row r="15" spans="2:12" x14ac:dyDescent="0.3">
      <c r="H15" s="2">
        <f>IFERROR(Table1[[#This Row],[Order Price (Euros)]]/Table1[[#This Row],[Parts per order]],0)</f>
        <v>0</v>
      </c>
      <c r="I15" s="2">
        <f>Table1[[#This Row],[Part Price (Euros)]]*Table1[[#This Row],[Parts Used]]</f>
        <v>0</v>
      </c>
      <c r="J15" s="2">
        <f>Table1[[#This Row],[Order Price (Euros)]]*Table1[[#This Row],[Order Quantity]]</f>
        <v>0</v>
      </c>
      <c r="K15" s="2"/>
      <c r="L15" s="2"/>
    </row>
    <row r="16" spans="2:12" x14ac:dyDescent="0.3">
      <c r="H16" s="2">
        <f>IFERROR(Table1[[#This Row],[Order Price (Euros)]]/Table1[[#This Row],[Parts per order]],0)</f>
        <v>0</v>
      </c>
      <c r="I16" s="2">
        <f>Table1[[#This Row],[Part Price (Euros)]]*Table1[[#This Row],[Parts Used]]</f>
        <v>0</v>
      </c>
      <c r="J16" s="2">
        <f>Table1[[#This Row],[Order Price (Euros)]]*Table1[[#This Row],[Order Quantity]]</f>
        <v>0</v>
      </c>
      <c r="K16" s="2"/>
      <c r="L16" s="2"/>
    </row>
    <row r="17" spans="8:12" x14ac:dyDescent="0.3">
      <c r="H17" s="2">
        <f>IFERROR(Table1[[#This Row],[Order Price (Euros)]]/Table1[[#This Row],[Parts per order]],0)</f>
        <v>0</v>
      </c>
      <c r="I17" s="2">
        <f>Table1[[#This Row],[Part Price (Euros)]]*Table1[[#This Row],[Parts Used]]</f>
        <v>0</v>
      </c>
      <c r="J17" s="2">
        <f>Table1[[#This Row],[Order Price (Euros)]]*Table1[[#This Row],[Order Quantity]]</f>
        <v>0</v>
      </c>
      <c r="K17" s="2"/>
      <c r="L17" s="2"/>
    </row>
    <row r="18" spans="8:12" x14ac:dyDescent="0.3">
      <c r="H18" s="2">
        <f>IFERROR(Table1[[#This Row],[Order Price (Euros)]]/Table1[[#This Row],[Parts per order]],0)</f>
        <v>0</v>
      </c>
      <c r="I18" s="2">
        <f>Table1[[#This Row],[Part Price (Euros)]]*Table1[[#This Row],[Parts Used]]</f>
        <v>0</v>
      </c>
      <c r="J18" s="2">
        <f>Table1[[#This Row],[Order Price (Euros)]]*Table1[[#This Row],[Order Quantity]]</f>
        <v>0</v>
      </c>
      <c r="K18" s="2"/>
      <c r="L18" s="2"/>
    </row>
    <row r="19" spans="8:12" x14ac:dyDescent="0.3">
      <c r="H19" s="2">
        <f>IFERROR(Table1[[#This Row],[Order Price (Euros)]]/Table1[[#This Row],[Parts per order]],0)</f>
        <v>0</v>
      </c>
      <c r="I19" s="2">
        <f>Table1[[#This Row],[Part Price (Euros)]]*Table1[[#This Row],[Parts Used]]</f>
        <v>0</v>
      </c>
      <c r="J19" s="2">
        <f>Table1[[#This Row],[Order Price (Euros)]]*Table1[[#This Row],[Order Quantity]]</f>
        <v>0</v>
      </c>
      <c r="K19" s="2"/>
      <c r="L19" s="2"/>
    </row>
    <row r="20" spans="8:12" x14ac:dyDescent="0.3">
      <c r="H20" s="2">
        <f>IFERROR(Table1[[#This Row],[Order Price (Euros)]]/Table1[[#This Row],[Parts per order]],0)</f>
        <v>0</v>
      </c>
      <c r="I20" s="2">
        <f>Table1[[#This Row],[Part Price (Euros)]]*Table1[[#This Row],[Parts Used]]</f>
        <v>0</v>
      </c>
      <c r="J20" s="2">
        <f>Table1[[#This Row],[Order Price (Euros)]]*Table1[[#This Row],[Order Quantity]]</f>
        <v>0</v>
      </c>
      <c r="K20" s="2"/>
      <c r="L20" s="2"/>
    </row>
    <row r="21" spans="8:12" x14ac:dyDescent="0.3">
      <c r="H21" s="2">
        <f>IFERROR(Table1[[#This Row],[Order Price (Euros)]]/Table1[[#This Row],[Parts per order]],0)</f>
        <v>0</v>
      </c>
      <c r="I21" s="2">
        <f>Table1[[#This Row],[Part Price (Euros)]]*Table1[[#This Row],[Parts Used]]</f>
        <v>0</v>
      </c>
      <c r="J21" s="2">
        <f>Table1[[#This Row],[Order Price (Euros)]]*Table1[[#This Row],[Order Quantity]]</f>
        <v>0</v>
      </c>
      <c r="K21" s="2"/>
      <c r="L21" s="2"/>
    </row>
    <row r="22" spans="8:12" x14ac:dyDescent="0.3">
      <c r="H22" s="2">
        <f>IFERROR(Table1[[#This Row],[Order Price (Euros)]]/Table1[[#This Row],[Parts per order]],0)</f>
        <v>0</v>
      </c>
      <c r="I22" s="2">
        <f>Table1[[#This Row],[Part Price (Euros)]]*Table1[[#This Row],[Parts Used]]</f>
        <v>0</v>
      </c>
      <c r="J22" s="2">
        <f>Table1[[#This Row],[Order Price (Euros)]]*Table1[[#This Row],[Order Quantity]]</f>
        <v>0</v>
      </c>
      <c r="K22" s="2"/>
      <c r="L22" s="2"/>
    </row>
    <row r="23" spans="8:12" x14ac:dyDescent="0.3">
      <c r="H23" s="2">
        <f>IFERROR(Table1[[#This Row],[Order Price (Euros)]]/Table1[[#This Row],[Parts per order]],0)</f>
        <v>0</v>
      </c>
      <c r="I23" s="2">
        <f>Table1[[#This Row],[Part Price (Euros)]]*Table1[[#This Row],[Parts Used]]</f>
        <v>0</v>
      </c>
      <c r="J23" s="2">
        <f>Table1[[#This Row],[Order Price (Euros)]]*Table1[[#This Row],[Order Quantity]]</f>
        <v>0</v>
      </c>
      <c r="K23" s="2"/>
      <c r="L23" s="2"/>
    </row>
    <row r="24" spans="8:12" x14ac:dyDescent="0.3">
      <c r="H24" s="2">
        <f>IFERROR(Table1[[#This Row],[Order Price (Euros)]]/Table1[[#This Row],[Parts per order]],0)</f>
        <v>0</v>
      </c>
      <c r="I24" s="2">
        <f>Table1[[#This Row],[Part Price (Euros)]]*Table1[[#This Row],[Parts Used]]</f>
        <v>0</v>
      </c>
      <c r="J24" s="2">
        <f>Table1[[#This Row],[Order Price (Euros)]]*Table1[[#This Row],[Order Quantity]]</f>
        <v>0</v>
      </c>
      <c r="K24" s="2"/>
      <c r="L24" s="2"/>
    </row>
    <row r="25" spans="8:12" x14ac:dyDescent="0.3">
      <c r="H25" s="2">
        <f>IFERROR(Table1[[#This Row],[Order Price (Euros)]]/Table1[[#This Row],[Parts per order]],0)</f>
        <v>0</v>
      </c>
      <c r="I25" s="2">
        <f>Table1[[#This Row],[Part Price (Euros)]]*Table1[[#This Row],[Parts Used]]</f>
        <v>0</v>
      </c>
      <c r="J25" s="2">
        <f>Table1[[#This Row],[Order Price (Euros)]]*Table1[[#This Row],[Order Quantity]]</f>
        <v>0</v>
      </c>
      <c r="K25" s="2"/>
      <c r="L25" s="2"/>
    </row>
    <row r="26" spans="8:12" x14ac:dyDescent="0.3">
      <c r="H26" s="2">
        <f>IFERROR(Table1[[#This Row],[Order Price (Euros)]]/Table1[[#This Row],[Parts per order]],0)</f>
        <v>0</v>
      </c>
      <c r="I26" s="2">
        <f>Table1[[#This Row],[Part Price (Euros)]]*Table1[[#This Row],[Parts Used]]</f>
        <v>0</v>
      </c>
      <c r="J26" s="2">
        <f>Table1[[#This Row],[Order Price (Euros)]]*Table1[[#This Row],[Order Quantity]]</f>
        <v>0</v>
      </c>
      <c r="K26" s="2"/>
      <c r="L26" s="2"/>
    </row>
    <row r="27" spans="8:12" x14ac:dyDescent="0.3">
      <c r="H27" s="2">
        <f>IFERROR(Table1[[#This Row],[Order Price (Euros)]]/Table1[[#This Row],[Parts per order]],0)</f>
        <v>0</v>
      </c>
      <c r="I27" s="2">
        <f>Table1[[#This Row],[Part Price (Euros)]]*Table1[[#This Row],[Parts Used]]</f>
        <v>0</v>
      </c>
      <c r="J27" s="2">
        <f>Table1[[#This Row],[Order Price (Euros)]]*Table1[[#This Row],[Order Quantity]]</f>
        <v>0</v>
      </c>
      <c r="K27" s="2"/>
      <c r="L27" s="2"/>
    </row>
    <row r="28" spans="8:12" x14ac:dyDescent="0.3">
      <c r="H28" s="2">
        <f>IFERROR(Table1[[#This Row],[Order Price (Euros)]]/Table1[[#This Row],[Parts per order]],0)</f>
        <v>0</v>
      </c>
      <c r="I28" s="2">
        <f>Table1[[#This Row],[Part Price (Euros)]]*Table1[[#This Row],[Parts Used]]</f>
        <v>0</v>
      </c>
      <c r="J28" s="2">
        <f>Table1[[#This Row],[Order Price (Euros)]]*Table1[[#This Row],[Order Quantity]]</f>
        <v>0</v>
      </c>
      <c r="K28" s="2"/>
      <c r="L28" s="2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3D16D06-9B84-4606-BFE5-E16AB0982624}">
          <x14:formula1>
            <xm:f>Info!$B$4:$B$13</xm:f>
          </x14:formula1>
          <xm:sqref>K4:K28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Info</vt:lpstr>
      <vt:lpstr>Tools</vt:lpstr>
      <vt:lpstr>Printing</vt:lpstr>
      <vt:lpstr>Electronics</vt:lpstr>
      <vt:lpstr>Cables</vt:lpstr>
      <vt:lpstr>Extras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 Rozendaal</dc:creator>
  <cp:lastModifiedBy>Aart Rozendaal</cp:lastModifiedBy>
  <dcterms:created xsi:type="dcterms:W3CDTF">2025-04-29T13:39:56Z</dcterms:created>
  <dcterms:modified xsi:type="dcterms:W3CDTF">2025-05-26T14:00:47Z</dcterms:modified>
</cp:coreProperties>
</file>