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Brighter Brew\8 Degrees Brewing\"/>
    </mc:Choice>
  </mc:AlternateContent>
  <xr:revisionPtr revIDLastSave="0" documentId="13_ncr:1_{32FCCDB8-9438-4770-969F-1CDE51EF6922}" xr6:coauthVersionLast="47" xr6:coauthVersionMax="47" xr10:uidLastSave="{00000000-0000-0000-0000-000000000000}"/>
  <bookViews>
    <workbookView xWindow="-120" yWindow="-120" windowWidth="29040" windowHeight="15840" tabRatio="884" activeTab="15" xr2:uid="{00000000-000D-0000-FFFF-FFFF00000000}"/>
  </bookViews>
  <sheets>
    <sheet name="Version Summary" sheetId="20" r:id="rId1"/>
    <sheet name="Assumptions" sheetId="5" r:id="rId2"/>
    <sheet name="Year 1 Traffic" sheetId="18" r:id="rId3"/>
    <sheet name="Events" sheetId="22" r:id="rId4"/>
    <sheet name="Beer Revenue" sheetId="7" r:id="rId5"/>
    <sheet name="Beer COGS" sheetId="8" r:id="rId6"/>
    <sheet name="4pk costs" sheetId="19" r:id="rId7"/>
    <sheet name="Labor" sheetId="11" r:id="rId8"/>
    <sheet name="Capital purchases" sheetId="10" r:id="rId9"/>
    <sheet name="Start-up expenses" sheetId="21" r:id="rId10"/>
    <sheet name="Depreciation" sheetId="13" r:id="rId11"/>
    <sheet name="LoanPayCalc" sheetId="14" r:id="rId12"/>
    <sheet name="SOFP" sheetId="2" r:id="rId13"/>
    <sheet name="SOCF" sheetId="4" r:id="rId14"/>
    <sheet name="SOO" sheetId="3" r:id="rId15"/>
    <sheet name="Exec Summary-Std" sheetId="12" r:id="rId16"/>
    <sheet name="Production" sheetId="6" state="hidden" r:id="rId17"/>
    <sheet name="Recipe Costs" sheetId="9" state="hidden" r:id="rId18"/>
    <sheet name="Lists" sheetId="15" state="hidden" r:id="rId19"/>
    <sheet name="Estimates - COGS - Total Volume" sheetId="16" state="hidden" r:id="rId20"/>
    <sheet name="FS-Summary" sheetId="1" state="hidden" r:id="rId21"/>
    <sheet name="PkG_Pricing" sheetId="17" state="hidden" r:id="rId22"/>
  </sheets>
  <definedNames>
    <definedName name="No_Mos">Lists!$A$2:$A$61</definedName>
    <definedName name="Yes_No">Lists!$F$2:$F$3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42" i="2" l="1"/>
  <c r="BH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BH19" i="11"/>
  <c r="AU19" i="11"/>
  <c r="AH19" i="11"/>
  <c r="U19" i="11"/>
  <c r="S19" i="11"/>
  <c r="R19" i="11"/>
  <c r="Q19" i="11"/>
  <c r="P19" i="11"/>
  <c r="O19" i="11"/>
  <c r="N19" i="11"/>
  <c r="M19" i="11"/>
  <c r="K19" i="11"/>
  <c r="J19" i="11"/>
  <c r="I19" i="11"/>
  <c r="H19" i="11"/>
  <c r="L19" i="11"/>
  <c r="BH61" i="11"/>
  <c r="AU61" i="11"/>
  <c r="H61" i="11"/>
  <c r="H47" i="11"/>
  <c r="E22" i="10"/>
  <c r="E24" i="10"/>
  <c r="E23" i="10"/>
  <c r="B69" i="5"/>
  <c r="B66" i="5"/>
  <c r="E26" i="10"/>
  <c r="E27" i="10" l="1"/>
  <c r="E12" i="10"/>
  <c r="K20" i="12"/>
  <c r="I20" i="12"/>
  <c r="G20" i="12"/>
  <c r="E20" i="12"/>
  <c r="C20" i="12"/>
  <c r="C131" i="7" l="1"/>
  <c r="D131" i="7" s="1"/>
  <c r="E131" i="7" s="1"/>
  <c r="F131" i="7" s="1"/>
  <c r="C130" i="7"/>
  <c r="D130" i="7" s="1"/>
  <c r="E130" i="7" s="1"/>
  <c r="F130" i="7" s="1"/>
  <c r="C129" i="7"/>
  <c r="D129" i="7" s="1"/>
  <c r="E129" i="7" s="1"/>
  <c r="F129" i="7" s="1"/>
  <c r="C128" i="7"/>
  <c r="D128" i="7" s="1"/>
  <c r="E128" i="7" s="1"/>
  <c r="F128" i="7" s="1"/>
  <c r="C43" i="7"/>
  <c r="D43" i="7" s="1"/>
  <c r="E43" i="7" s="1"/>
  <c r="F43" i="7" s="1"/>
  <c r="C42" i="7"/>
  <c r="D42" i="7" s="1"/>
  <c r="E42" i="7" s="1"/>
  <c r="F42" i="7" s="1"/>
  <c r="C41" i="7"/>
  <c r="D41" i="7" s="1"/>
  <c r="E41" i="7" s="1"/>
  <c r="F41" i="7" s="1"/>
  <c r="C40" i="7"/>
  <c r="D40" i="7" s="1"/>
  <c r="E40" i="7" s="1"/>
  <c r="F40" i="7" s="1"/>
  <c r="C39" i="7"/>
  <c r="D39" i="7" s="1"/>
  <c r="E39" i="7" s="1"/>
  <c r="F39" i="7" s="1"/>
  <c r="C38" i="7"/>
  <c r="D38" i="7" s="1"/>
  <c r="E38" i="7" s="1"/>
  <c r="F38" i="7" s="1"/>
  <c r="C37" i="7"/>
  <c r="D37" i="7" s="1"/>
  <c r="E37" i="7" s="1"/>
  <c r="F37" i="7" s="1"/>
  <c r="C36" i="7"/>
  <c r="D36" i="7" s="1"/>
  <c r="E36" i="7" s="1"/>
  <c r="F36" i="7" s="1"/>
  <c r="C35" i="7"/>
  <c r="D35" i="7" s="1"/>
  <c r="E35" i="7" s="1"/>
  <c r="F35" i="7" s="1"/>
  <c r="C34" i="7"/>
  <c r="D34" i="7" s="1"/>
  <c r="E34" i="7" s="1"/>
  <c r="F34" i="7" s="1"/>
  <c r="C33" i="7"/>
  <c r="D33" i="7" s="1"/>
  <c r="E33" i="7" s="1"/>
  <c r="F33" i="7" s="1"/>
  <c r="C32" i="7"/>
  <c r="D32" i="7" s="1"/>
  <c r="E32" i="7" s="1"/>
  <c r="F32" i="7" s="1"/>
  <c r="C31" i="7"/>
  <c r="D31" i="7" s="1"/>
  <c r="E31" i="7" s="1"/>
  <c r="F31" i="7" s="1"/>
  <c r="C16" i="7"/>
  <c r="D16" i="7" s="1"/>
  <c r="E16" i="7" s="1"/>
  <c r="F16" i="7" s="1"/>
  <c r="C17" i="7"/>
  <c r="D17" i="7" s="1"/>
  <c r="E17" i="7" s="1"/>
  <c r="F17" i="7" s="1"/>
  <c r="C18" i="7"/>
  <c r="D18" i="7" s="1"/>
  <c r="E18" i="7" s="1"/>
  <c r="F18" i="7" s="1"/>
  <c r="C19" i="7"/>
  <c r="D19" i="7" s="1"/>
  <c r="E19" i="7" s="1"/>
  <c r="F19" i="7" s="1"/>
  <c r="C20" i="7"/>
  <c r="D20" i="7" s="1"/>
  <c r="E20" i="7" s="1"/>
  <c r="F20" i="7" s="1"/>
  <c r="C21" i="7"/>
  <c r="D21" i="7" s="1"/>
  <c r="E21" i="7" s="1"/>
  <c r="F21" i="7" s="1"/>
  <c r="C22" i="7"/>
  <c r="D22" i="7" s="1"/>
  <c r="E22" i="7" s="1"/>
  <c r="F22" i="7" s="1"/>
  <c r="C23" i="7"/>
  <c r="D23" i="7" s="1"/>
  <c r="E23" i="7" s="1"/>
  <c r="F23" i="7" s="1"/>
  <c r="C24" i="7"/>
  <c r="D24" i="7" s="1"/>
  <c r="E24" i="7" s="1"/>
  <c r="F24" i="7" s="1"/>
  <c r="C25" i="7"/>
  <c r="D25" i="7" s="1"/>
  <c r="E25" i="7" s="1"/>
  <c r="F25" i="7" s="1"/>
  <c r="C26" i="7"/>
  <c r="D26" i="7" s="1"/>
  <c r="E26" i="7" s="1"/>
  <c r="F26" i="7" s="1"/>
  <c r="C27" i="7"/>
  <c r="D27" i="7" s="1"/>
  <c r="E27" i="7" s="1"/>
  <c r="F27" i="7" s="1"/>
  <c r="D15" i="7"/>
  <c r="E15" i="7" s="1"/>
  <c r="F15" i="7" s="1"/>
  <c r="C15" i="7"/>
  <c r="B38" i="8"/>
  <c r="B37" i="8"/>
  <c r="C37" i="8" s="1"/>
  <c r="D37" i="8" s="1"/>
  <c r="B36" i="8"/>
  <c r="B11" i="8"/>
  <c r="C11" i="8" s="1"/>
  <c r="D11" i="8" s="1"/>
  <c r="B12" i="8"/>
  <c r="B13" i="8"/>
  <c r="B14" i="8"/>
  <c r="B15" i="8"/>
  <c r="C15" i="8" s="1"/>
  <c r="D15" i="8" s="1"/>
  <c r="B17" i="8"/>
  <c r="B18" i="8"/>
  <c r="B19" i="8"/>
  <c r="C19" i="8" s="1"/>
  <c r="D19" i="8" s="1"/>
  <c r="B20" i="8"/>
  <c r="B21" i="8"/>
  <c r="B22" i="8"/>
  <c r="B10" i="8"/>
  <c r="C10" i="8" s="1"/>
  <c r="A45" i="8"/>
  <c r="B45" i="8" s="1"/>
  <c r="A46" i="8"/>
  <c r="B46" i="8" s="1"/>
  <c r="A47" i="8"/>
  <c r="B47" i="8" s="1"/>
  <c r="A44" i="8"/>
  <c r="B44" i="8" s="1"/>
  <c r="C12" i="22"/>
  <c r="C14" i="22" s="1"/>
  <c r="D12" i="22"/>
  <c r="D15" i="22" s="1"/>
  <c r="E12" i="22"/>
  <c r="E16" i="22" s="1"/>
  <c r="F12" i="22"/>
  <c r="F16" i="22" s="1"/>
  <c r="G12" i="22"/>
  <c r="G14" i="22" s="1"/>
  <c r="H12" i="22"/>
  <c r="H15" i="22" s="1"/>
  <c r="I12" i="22"/>
  <c r="I16" i="22" s="1"/>
  <c r="J12" i="22"/>
  <c r="J16" i="22" s="1"/>
  <c r="K12" i="22"/>
  <c r="K14" i="22" s="1"/>
  <c r="L12" i="22"/>
  <c r="L15" i="22" s="1"/>
  <c r="M12" i="22"/>
  <c r="M16" i="22" s="1"/>
  <c r="B12" i="22"/>
  <c r="B16" i="22" s="1"/>
  <c r="F15" i="22" l="1"/>
  <c r="C14" i="8"/>
  <c r="C47" i="8"/>
  <c r="C22" i="8"/>
  <c r="C18" i="8"/>
  <c r="C36" i="8"/>
  <c r="C45" i="8"/>
  <c r="C46" i="8"/>
  <c r="C21" i="8"/>
  <c r="C17" i="8"/>
  <c r="C13" i="8"/>
  <c r="C20" i="8"/>
  <c r="C12" i="8"/>
  <c r="C38" i="8"/>
  <c r="C44" i="8"/>
  <c r="E19" i="8"/>
  <c r="E15" i="8"/>
  <c r="E11" i="8"/>
  <c r="E37" i="8"/>
  <c r="D10" i="8"/>
  <c r="K15" i="22"/>
  <c r="J14" i="22"/>
  <c r="J15" i="22"/>
  <c r="E15" i="22"/>
  <c r="I14" i="22"/>
  <c r="B15" i="22"/>
  <c r="I15" i="22"/>
  <c r="C15" i="22"/>
  <c r="F14" i="22"/>
  <c r="F17" i="22" s="1"/>
  <c r="J7" i="3" s="1"/>
  <c r="W7" i="3" s="1"/>
  <c r="AJ7" i="3" s="1"/>
  <c r="AW7" i="3" s="1"/>
  <c r="BJ7" i="3" s="1"/>
  <c r="M15" i="22"/>
  <c r="G15" i="22"/>
  <c r="M14" i="22"/>
  <c r="E14" i="22"/>
  <c r="E17" i="22" s="1"/>
  <c r="I7" i="3" s="1"/>
  <c r="V7" i="3" s="1"/>
  <c r="AI7" i="3" s="1"/>
  <c r="AV7" i="3" s="1"/>
  <c r="BI7" i="3" s="1"/>
  <c r="L16" i="22"/>
  <c r="H16" i="22"/>
  <c r="D16" i="22"/>
  <c r="K16" i="22"/>
  <c r="K17" i="22" s="1"/>
  <c r="O7" i="3" s="1"/>
  <c r="AB7" i="3" s="1"/>
  <c r="AO7" i="3" s="1"/>
  <c r="BB7" i="3" s="1"/>
  <c r="BO7" i="3" s="1"/>
  <c r="G16" i="22"/>
  <c r="C16" i="22"/>
  <c r="L14" i="22"/>
  <c r="H14" i="22"/>
  <c r="D14" i="22"/>
  <c r="B27" i="22"/>
  <c r="J27" i="22"/>
  <c r="J28" i="22"/>
  <c r="F28" i="22"/>
  <c r="F27" i="22"/>
  <c r="B28" i="22"/>
  <c r="M27" i="22"/>
  <c r="I27" i="22"/>
  <c r="E27" i="22"/>
  <c r="M28" i="22"/>
  <c r="I28" i="22"/>
  <c r="E28" i="22"/>
  <c r="L27" i="22"/>
  <c r="H27" i="22"/>
  <c r="D27" i="22"/>
  <c r="L28" i="22"/>
  <c r="H28" i="22"/>
  <c r="D28" i="22"/>
  <c r="K27" i="22"/>
  <c r="G27" i="22"/>
  <c r="C27" i="22"/>
  <c r="K28" i="22"/>
  <c r="G28" i="22"/>
  <c r="C28" i="22"/>
  <c r="B14" i="22"/>
  <c r="C17" i="22" l="1"/>
  <c r="G7" i="3" s="1"/>
  <c r="T7" i="3" s="1"/>
  <c r="AG7" i="3" s="1"/>
  <c r="AT7" i="3" s="1"/>
  <c r="BG7" i="3" s="1"/>
  <c r="H29" i="22"/>
  <c r="G17" i="22"/>
  <c r="K7" i="3" s="1"/>
  <c r="X7" i="3" s="1"/>
  <c r="AK7" i="3" s="1"/>
  <c r="AX7" i="3" s="1"/>
  <c r="BK7" i="3" s="1"/>
  <c r="B29" i="22"/>
  <c r="F41" i="3" s="1"/>
  <c r="S41" i="3" s="1"/>
  <c r="D38" i="8"/>
  <c r="D13" i="8"/>
  <c r="D17" i="8"/>
  <c r="D36" i="8"/>
  <c r="D47" i="8"/>
  <c r="E10" i="8"/>
  <c r="D44" i="8"/>
  <c r="D20" i="8"/>
  <c r="D21" i="8"/>
  <c r="D46" i="8"/>
  <c r="D45" i="8"/>
  <c r="D22" i="8"/>
  <c r="D12" i="8"/>
  <c r="D18" i="8"/>
  <c r="D14" i="8"/>
  <c r="I17" i="22"/>
  <c r="M7" i="3" s="1"/>
  <c r="Z7" i="3" s="1"/>
  <c r="AM7" i="3" s="1"/>
  <c r="AZ7" i="3" s="1"/>
  <c r="BM7" i="3" s="1"/>
  <c r="J17" i="22"/>
  <c r="N7" i="3" s="1"/>
  <c r="AA7" i="3" s="1"/>
  <c r="AN7" i="3" s="1"/>
  <c r="BA7" i="3" s="1"/>
  <c r="BN7" i="3" s="1"/>
  <c r="M17" i="22"/>
  <c r="Q7" i="3" s="1"/>
  <c r="AD7" i="3" s="1"/>
  <c r="AQ7" i="3" s="1"/>
  <c r="BD7" i="3" s="1"/>
  <c r="BQ7" i="3" s="1"/>
  <c r="H17" i="22"/>
  <c r="L7" i="3" s="1"/>
  <c r="Y7" i="3" s="1"/>
  <c r="AL7" i="3" s="1"/>
  <c r="AY7" i="3" s="1"/>
  <c r="BL7" i="3" s="1"/>
  <c r="K29" i="22"/>
  <c r="O41" i="3" s="1"/>
  <c r="AB41" i="3" s="1"/>
  <c r="AO41" i="3" s="1"/>
  <c r="BB41" i="3" s="1"/>
  <c r="BO41" i="3" s="1"/>
  <c r="L17" i="22"/>
  <c r="P7" i="3" s="1"/>
  <c r="AC7" i="3" s="1"/>
  <c r="AP7" i="3" s="1"/>
  <c r="BC7" i="3" s="1"/>
  <c r="BP7" i="3" s="1"/>
  <c r="L41" i="3"/>
  <c r="Y41" i="3" s="1"/>
  <c r="AL41" i="3" s="1"/>
  <c r="AY41" i="3" s="1"/>
  <c r="BL41" i="3" s="1"/>
  <c r="H31" i="22"/>
  <c r="B17" i="22"/>
  <c r="D17" i="22"/>
  <c r="H7" i="3" s="1"/>
  <c r="U7" i="3" s="1"/>
  <c r="AH7" i="3" s="1"/>
  <c r="AU7" i="3" s="1"/>
  <c r="BH7" i="3" s="1"/>
  <c r="I29" i="22"/>
  <c r="G29" i="22"/>
  <c r="J29" i="22"/>
  <c r="M29" i="22"/>
  <c r="F29" i="22"/>
  <c r="L29" i="22"/>
  <c r="C29" i="22"/>
  <c r="D29" i="22"/>
  <c r="E29" i="22"/>
  <c r="B31" i="22" l="1"/>
  <c r="F7" i="3"/>
  <c r="S7" i="3" s="1"/>
  <c r="AF7" i="3" s="1"/>
  <c r="AS7" i="3" s="1"/>
  <c r="BF7" i="3" s="1"/>
  <c r="E14" i="8"/>
  <c r="E46" i="8"/>
  <c r="E17" i="8"/>
  <c r="E22" i="8"/>
  <c r="E21" i="8"/>
  <c r="E12" i="8"/>
  <c r="E45" i="8"/>
  <c r="E20" i="8"/>
  <c r="E47" i="8"/>
  <c r="E13" i="8"/>
  <c r="E18" i="8"/>
  <c r="E44" i="8"/>
  <c r="E36" i="8"/>
  <c r="E38" i="8"/>
  <c r="K31" i="22"/>
  <c r="BR7" i="3"/>
  <c r="R7" i="3"/>
  <c r="H41" i="3"/>
  <c r="U41" i="3" s="1"/>
  <c r="AH41" i="3" s="1"/>
  <c r="AU41" i="3" s="1"/>
  <c r="BH41" i="3" s="1"/>
  <c r="D31" i="22"/>
  <c r="Q41" i="3"/>
  <c r="AD41" i="3" s="1"/>
  <c r="AQ41" i="3" s="1"/>
  <c r="BD41" i="3" s="1"/>
  <c r="BQ41" i="3" s="1"/>
  <c r="M31" i="22"/>
  <c r="I41" i="3"/>
  <c r="V41" i="3" s="1"/>
  <c r="AI41" i="3" s="1"/>
  <c r="AV41" i="3" s="1"/>
  <c r="BI41" i="3" s="1"/>
  <c r="E31" i="22"/>
  <c r="N41" i="3"/>
  <c r="AA41" i="3" s="1"/>
  <c r="AN41" i="3" s="1"/>
  <c r="BA41" i="3" s="1"/>
  <c r="BN41" i="3" s="1"/>
  <c r="J31" i="22"/>
  <c r="K41" i="3"/>
  <c r="X41" i="3" s="1"/>
  <c r="AK41" i="3" s="1"/>
  <c r="AX41" i="3" s="1"/>
  <c r="BK41" i="3" s="1"/>
  <c r="G31" i="22"/>
  <c r="G41" i="3"/>
  <c r="T41" i="3" s="1"/>
  <c r="AG41" i="3" s="1"/>
  <c r="AT41" i="3" s="1"/>
  <c r="C31" i="22"/>
  <c r="J41" i="3"/>
  <c r="W41" i="3" s="1"/>
  <c r="AJ41" i="3" s="1"/>
  <c r="AW41" i="3" s="1"/>
  <c r="BJ41" i="3" s="1"/>
  <c r="F31" i="22"/>
  <c r="M41" i="3"/>
  <c r="Z41" i="3" s="1"/>
  <c r="AM41" i="3" s="1"/>
  <c r="AZ41" i="3" s="1"/>
  <c r="BM41" i="3" s="1"/>
  <c r="I31" i="22"/>
  <c r="P41" i="3"/>
  <c r="AC41" i="3" s="1"/>
  <c r="AP41" i="3" s="1"/>
  <c r="BC41" i="3" s="1"/>
  <c r="BP41" i="3" s="1"/>
  <c r="L31" i="22"/>
  <c r="AF41" i="3"/>
  <c r="AS41" i="3" s="1"/>
  <c r="BF41" i="3" s="1"/>
  <c r="C29" i="12"/>
  <c r="C30" i="12" s="1"/>
  <c r="CD13" i="14"/>
  <c r="CE13" i="14"/>
  <c r="CF13" i="14"/>
  <c r="CG13" i="14"/>
  <c r="CH13" i="14"/>
  <c r="CI13" i="14"/>
  <c r="CJ13" i="14"/>
  <c r="CK13" i="14"/>
  <c r="CL13" i="14"/>
  <c r="CM13" i="14"/>
  <c r="CN13" i="14"/>
  <c r="CO13" i="14"/>
  <c r="CP13" i="14"/>
  <c r="CQ13" i="14"/>
  <c r="CR13" i="14"/>
  <c r="CS13" i="14"/>
  <c r="CT13" i="14"/>
  <c r="CU13" i="14"/>
  <c r="CV13" i="14"/>
  <c r="CW13" i="14"/>
  <c r="CX13" i="14"/>
  <c r="CY13" i="14"/>
  <c r="CZ13" i="14"/>
  <c r="DA13" i="14"/>
  <c r="DB13" i="14"/>
  <c r="DC13" i="14"/>
  <c r="DD13" i="14"/>
  <c r="DE13" i="14"/>
  <c r="DF13" i="14"/>
  <c r="DG13" i="14"/>
  <c r="DH13" i="14"/>
  <c r="DI13" i="14"/>
  <c r="DJ13" i="14"/>
  <c r="DK13" i="14"/>
  <c r="DL13" i="14"/>
  <c r="DM13" i="14"/>
  <c r="DN13" i="14"/>
  <c r="DO13" i="14"/>
  <c r="DP13" i="14"/>
  <c r="DQ13" i="14"/>
  <c r="DR13" i="14"/>
  <c r="DS13" i="14"/>
  <c r="DT13" i="14"/>
  <c r="DU13" i="14"/>
  <c r="DV13" i="14"/>
  <c r="DW13" i="14"/>
  <c r="DX13" i="14"/>
  <c r="DY13" i="14"/>
  <c r="DZ13" i="14"/>
  <c r="EA13" i="14"/>
  <c r="EB13" i="14"/>
  <c r="EC13" i="14"/>
  <c r="ED13" i="14"/>
  <c r="EE13" i="14"/>
  <c r="EF13" i="14"/>
  <c r="EG13" i="14"/>
  <c r="EH13" i="14"/>
  <c r="EI13" i="14"/>
  <c r="EJ13" i="14"/>
  <c r="EK13" i="14"/>
  <c r="CC13" i="14"/>
  <c r="C34" i="21"/>
  <c r="C27" i="21"/>
  <c r="C16" i="21"/>
  <c r="C15" i="21"/>
  <c r="C14" i="21"/>
  <c r="C26" i="21" s="1"/>
  <c r="E34" i="10"/>
  <c r="C115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6" i="10"/>
  <c r="C125" i="10"/>
  <c r="C124" i="10"/>
  <c r="C123" i="10"/>
  <c r="C122" i="10"/>
  <c r="C121" i="10"/>
  <c r="C120" i="10"/>
  <c r="C119" i="10"/>
  <c r="C118" i="10"/>
  <c r="C117" i="10"/>
  <c r="C116" i="10"/>
  <c r="A7" i="13"/>
  <c r="C7" i="13" s="1"/>
  <c r="E7" i="13"/>
  <c r="A8" i="13"/>
  <c r="C8" i="13" s="1"/>
  <c r="A9" i="13"/>
  <c r="C9" i="13" s="1"/>
  <c r="A10" i="13"/>
  <c r="C10" i="13" s="1"/>
  <c r="A11" i="13"/>
  <c r="C11" i="13" s="1"/>
  <c r="A12" i="13"/>
  <c r="C12" i="13" s="1"/>
  <c r="A13" i="13"/>
  <c r="C13" i="13" s="1"/>
  <c r="A14" i="13"/>
  <c r="C14" i="13" s="1"/>
  <c r="A15" i="13"/>
  <c r="C15" i="13" s="1"/>
  <c r="A16" i="13"/>
  <c r="C16" i="13" s="1"/>
  <c r="A17" i="13"/>
  <c r="C17" i="13" s="1"/>
  <c r="A18" i="13"/>
  <c r="C18" i="13" s="1"/>
  <c r="A19" i="13"/>
  <c r="C19" i="13" s="1"/>
  <c r="A20" i="13"/>
  <c r="C20" i="13" s="1"/>
  <c r="A21" i="13"/>
  <c r="C21" i="13" s="1"/>
  <c r="A22" i="13"/>
  <c r="C22" i="13" s="1"/>
  <c r="A23" i="13"/>
  <c r="C23" i="13" s="1"/>
  <c r="A24" i="13"/>
  <c r="A25" i="13"/>
  <c r="A26" i="13"/>
  <c r="A27" i="13"/>
  <c r="A28" i="13"/>
  <c r="A29" i="13"/>
  <c r="A30" i="13"/>
  <c r="A31" i="13"/>
  <c r="A32" i="13"/>
  <c r="A33" i="13"/>
  <c r="A34" i="13"/>
  <c r="A35" i="13"/>
  <c r="E35" i="13" s="1"/>
  <c r="A36" i="13"/>
  <c r="E36" i="13"/>
  <c r="A37" i="13"/>
  <c r="E37" i="13" s="1"/>
  <c r="A38" i="13"/>
  <c r="E38" i="13"/>
  <c r="A39" i="13"/>
  <c r="E39" i="13" s="1"/>
  <c r="A40" i="13"/>
  <c r="E40" i="13"/>
  <c r="A41" i="13"/>
  <c r="E41" i="13" s="1"/>
  <c r="A42" i="13"/>
  <c r="E42" i="13"/>
  <c r="A43" i="13"/>
  <c r="E43" i="13" s="1"/>
  <c r="A44" i="13"/>
  <c r="E44" i="13"/>
  <c r="A45" i="13"/>
  <c r="E45" i="13" s="1"/>
  <c r="A46" i="13"/>
  <c r="E46" i="13"/>
  <c r="A47" i="13"/>
  <c r="E47" i="13" s="1"/>
  <c r="A48" i="13"/>
  <c r="E48" i="13"/>
  <c r="A49" i="13"/>
  <c r="E49" i="13" s="1"/>
  <c r="A50" i="13"/>
  <c r="E50" i="13"/>
  <c r="A51" i="13"/>
  <c r="E51" i="13" s="1"/>
  <c r="A52" i="13"/>
  <c r="E52" i="13"/>
  <c r="A53" i="13"/>
  <c r="E53" i="13" s="1"/>
  <c r="A54" i="13"/>
  <c r="E54" i="13"/>
  <c r="A55" i="13"/>
  <c r="E55" i="13" s="1"/>
  <c r="A56" i="13"/>
  <c r="E56" i="13"/>
  <c r="A57" i="13"/>
  <c r="E57" i="13" s="1"/>
  <c r="A58" i="13"/>
  <c r="E58" i="13"/>
  <c r="A59" i="13"/>
  <c r="E59" i="13" s="1"/>
  <c r="A60" i="13"/>
  <c r="E60" i="13"/>
  <c r="A61" i="13"/>
  <c r="E61" i="13" s="1"/>
  <c r="A62" i="13"/>
  <c r="E62" i="13"/>
  <c r="A63" i="13"/>
  <c r="E63" i="13" s="1"/>
  <c r="A64" i="13"/>
  <c r="E64" i="13"/>
  <c r="A65" i="13"/>
  <c r="E65" i="13" s="1"/>
  <c r="A66" i="13"/>
  <c r="E66" i="13"/>
  <c r="A67" i="13"/>
  <c r="E67" i="13" s="1"/>
  <c r="A68" i="13"/>
  <c r="E68" i="13"/>
  <c r="A69" i="13"/>
  <c r="E69" i="13" s="1"/>
  <c r="A70" i="13"/>
  <c r="E70" i="13"/>
  <c r="A71" i="13"/>
  <c r="E71" i="13" s="1"/>
  <c r="A72" i="13"/>
  <c r="E72" i="13"/>
  <c r="A73" i="13"/>
  <c r="E73" i="13" s="1"/>
  <c r="A74" i="13"/>
  <c r="E74" i="13"/>
  <c r="A75" i="13"/>
  <c r="E75" i="13" s="1"/>
  <c r="A76" i="13"/>
  <c r="E76" i="13"/>
  <c r="A77" i="13"/>
  <c r="E77" i="13" s="1"/>
  <c r="A78" i="13"/>
  <c r="E78" i="13"/>
  <c r="A79" i="13"/>
  <c r="E79" i="13" s="1"/>
  <c r="A80" i="13"/>
  <c r="E80" i="13"/>
  <c r="A81" i="13"/>
  <c r="E81" i="13" s="1"/>
  <c r="A82" i="13"/>
  <c r="E82" i="13"/>
  <c r="A83" i="13"/>
  <c r="E83" i="13" s="1"/>
  <c r="A84" i="13"/>
  <c r="E84" i="13"/>
  <c r="A85" i="13"/>
  <c r="E85" i="13" s="1"/>
  <c r="A86" i="13"/>
  <c r="C86" i="13" s="1"/>
  <c r="D86" i="13"/>
  <c r="E86" i="13"/>
  <c r="A87" i="13"/>
  <c r="C87" i="13" s="1"/>
  <c r="D87" i="13"/>
  <c r="E87" i="13"/>
  <c r="A88" i="13"/>
  <c r="C88" i="13" s="1"/>
  <c r="A89" i="13"/>
  <c r="C89" i="13" s="1"/>
  <c r="A90" i="13"/>
  <c r="C90" i="13" s="1"/>
  <c r="D90" i="13"/>
  <c r="E90" i="13"/>
  <c r="A91" i="13"/>
  <c r="C91" i="13" s="1"/>
  <c r="D91" i="13"/>
  <c r="E91" i="13"/>
  <c r="A92" i="13"/>
  <c r="C92" i="13" s="1"/>
  <c r="E92" i="13"/>
  <c r="A93" i="13"/>
  <c r="C93" i="13" s="1"/>
  <c r="E93" i="13"/>
  <c r="A94" i="13"/>
  <c r="C94" i="13" s="1"/>
  <c r="E94" i="13"/>
  <c r="A95" i="13"/>
  <c r="C95" i="13" s="1"/>
  <c r="E95" i="13"/>
  <c r="A96" i="13"/>
  <c r="C96" i="13" s="1"/>
  <c r="E96" i="13"/>
  <c r="A97" i="13"/>
  <c r="C97" i="13" s="1"/>
  <c r="E97" i="13"/>
  <c r="A98" i="13"/>
  <c r="C98" i="13" s="1"/>
  <c r="E98" i="13"/>
  <c r="A99" i="13"/>
  <c r="C99" i="13" s="1"/>
  <c r="E99" i="13"/>
  <c r="A100" i="13"/>
  <c r="C100" i="13" s="1"/>
  <c r="E100" i="13"/>
  <c r="C6" i="13"/>
  <c r="A6" i="13"/>
  <c r="D6" i="13" s="1"/>
  <c r="G38" i="10"/>
  <c r="G37" i="10"/>
  <c r="G36" i="10"/>
  <c r="G23" i="10"/>
  <c r="G24" i="10"/>
  <c r="G25" i="10"/>
  <c r="G26" i="10"/>
  <c r="Q63" i="3"/>
  <c r="P63" i="3"/>
  <c r="O63" i="3"/>
  <c r="N63" i="3"/>
  <c r="M63" i="3"/>
  <c r="L63" i="3"/>
  <c r="K63" i="3"/>
  <c r="J63" i="3"/>
  <c r="I63" i="3"/>
  <c r="H63" i="3"/>
  <c r="G63" i="3"/>
  <c r="F63" i="3"/>
  <c r="Q62" i="3"/>
  <c r="P62" i="3"/>
  <c r="O62" i="3"/>
  <c r="N62" i="3"/>
  <c r="M62" i="3"/>
  <c r="L62" i="3"/>
  <c r="K62" i="3"/>
  <c r="J62" i="3"/>
  <c r="I62" i="3"/>
  <c r="H62" i="3"/>
  <c r="G62" i="3"/>
  <c r="F62" i="3"/>
  <c r="Q61" i="3"/>
  <c r="P61" i="3"/>
  <c r="O61" i="3"/>
  <c r="N61" i="3"/>
  <c r="M61" i="3"/>
  <c r="L61" i="3"/>
  <c r="K61" i="3"/>
  <c r="J61" i="3"/>
  <c r="I61" i="3"/>
  <c r="H61" i="3"/>
  <c r="G61" i="3"/>
  <c r="F61" i="3"/>
  <c r="Q59" i="3"/>
  <c r="P59" i="3"/>
  <c r="O59" i="3"/>
  <c r="N59" i="3"/>
  <c r="M59" i="3"/>
  <c r="L59" i="3"/>
  <c r="K59" i="3"/>
  <c r="J59" i="3"/>
  <c r="I59" i="3"/>
  <c r="H59" i="3"/>
  <c r="G59" i="3"/>
  <c r="F59" i="3"/>
  <c r="H92" i="5"/>
  <c r="I92" i="5" s="1"/>
  <c r="J92" i="5" s="1"/>
  <c r="K92" i="5" s="1"/>
  <c r="H91" i="5"/>
  <c r="I91" i="5" s="1"/>
  <c r="J91" i="5" s="1"/>
  <c r="K91" i="5" s="1"/>
  <c r="H90" i="5"/>
  <c r="H89" i="5"/>
  <c r="H88" i="5"/>
  <c r="H86" i="5"/>
  <c r="H85" i="5"/>
  <c r="H84" i="5"/>
  <c r="H83" i="5"/>
  <c r="H82" i="5"/>
  <c r="I82" i="5" s="1"/>
  <c r="J82" i="5" s="1"/>
  <c r="K82" i="5" s="1"/>
  <c r="H81" i="5"/>
  <c r="I81" i="5" s="1"/>
  <c r="J81" i="5" s="1"/>
  <c r="K81" i="5" s="1"/>
  <c r="H80" i="5"/>
  <c r="I80" i="5" s="1"/>
  <c r="J80" i="5" s="1"/>
  <c r="K80" i="5" s="1"/>
  <c r="H79" i="5"/>
  <c r="I79" i="5" s="1"/>
  <c r="J79" i="5" s="1"/>
  <c r="K79" i="5" s="1"/>
  <c r="H78" i="5"/>
  <c r="I78" i="5" s="1"/>
  <c r="J78" i="5" s="1"/>
  <c r="K78" i="5" s="1"/>
  <c r="H77" i="5"/>
  <c r="I77" i="5" s="1"/>
  <c r="J77" i="5" s="1"/>
  <c r="K77" i="5" s="1"/>
  <c r="H72" i="5"/>
  <c r="H71" i="5"/>
  <c r="H70" i="5"/>
  <c r="I70" i="5" s="1"/>
  <c r="J70" i="5" s="1"/>
  <c r="K70" i="5" s="1"/>
  <c r="H68" i="5"/>
  <c r="I68" i="5" s="1"/>
  <c r="J68" i="5" s="1"/>
  <c r="K68" i="5" s="1"/>
  <c r="H67" i="5"/>
  <c r="I67" i="5" s="1"/>
  <c r="J67" i="5" s="1"/>
  <c r="K67" i="5" s="1"/>
  <c r="H64" i="5"/>
  <c r="AD43" i="3" s="1"/>
  <c r="Q52" i="3"/>
  <c r="P52" i="3"/>
  <c r="O52" i="3"/>
  <c r="N52" i="3"/>
  <c r="M52" i="3"/>
  <c r="L52" i="3"/>
  <c r="K52" i="3"/>
  <c r="J52" i="3"/>
  <c r="I52" i="3"/>
  <c r="H52" i="3"/>
  <c r="G52" i="3"/>
  <c r="F52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D47" i="3"/>
  <c r="AC47" i="3"/>
  <c r="AB47" i="3"/>
  <c r="AA47" i="3"/>
  <c r="Z47" i="3"/>
  <c r="Y47" i="3"/>
  <c r="X47" i="3"/>
  <c r="W47" i="3"/>
  <c r="V47" i="3"/>
  <c r="U47" i="3"/>
  <c r="T47" i="3"/>
  <c r="S47" i="3"/>
  <c r="E13" i="11"/>
  <c r="D49" i="11"/>
  <c r="E49" i="11" s="1"/>
  <c r="I12" i="1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E11" i="11"/>
  <c r="V8" i="1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D57" i="11"/>
  <c r="D53" i="11"/>
  <c r="D55" i="11"/>
  <c r="I38" i="11"/>
  <c r="J38" i="11" s="1"/>
  <c r="K38" i="11" s="1"/>
  <c r="L38" i="11" s="1"/>
  <c r="M38" i="11" s="1"/>
  <c r="N38" i="11" s="1"/>
  <c r="O38" i="11" s="1"/>
  <c r="P38" i="11" s="1"/>
  <c r="Q38" i="11" s="1"/>
  <c r="R38" i="11" s="1"/>
  <c r="S38" i="11" s="1"/>
  <c r="I36" i="11"/>
  <c r="I30" i="11"/>
  <c r="J30" i="11" s="1"/>
  <c r="K30" i="11" s="1"/>
  <c r="L30" i="11" s="1"/>
  <c r="M30" i="11" s="1"/>
  <c r="N30" i="11" s="1"/>
  <c r="O30" i="11" s="1"/>
  <c r="P30" i="11" s="1"/>
  <c r="Q30" i="11" s="1"/>
  <c r="R30" i="11" s="1"/>
  <c r="S30" i="11" s="1"/>
  <c r="I28" i="11"/>
  <c r="J28" i="11" s="1"/>
  <c r="K28" i="11" s="1"/>
  <c r="L28" i="11" s="1"/>
  <c r="M28" i="11" s="1"/>
  <c r="N28" i="11" s="1"/>
  <c r="O28" i="11" s="1"/>
  <c r="P28" i="11" s="1"/>
  <c r="Q28" i="11" s="1"/>
  <c r="R28" i="11" s="1"/>
  <c r="S28" i="11" s="1"/>
  <c r="I16" i="1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I14" i="11"/>
  <c r="J14" i="11" s="1"/>
  <c r="I10" i="1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D37" i="11"/>
  <c r="D35" i="11"/>
  <c r="D51" i="11"/>
  <c r="E23" i="11"/>
  <c r="F23" i="11" s="1"/>
  <c r="E25" i="11"/>
  <c r="F25" i="11"/>
  <c r="BX24" i="8"/>
  <c r="BX25" i="8"/>
  <c r="F11" i="8"/>
  <c r="F12" i="8"/>
  <c r="F13" i="8"/>
  <c r="F14" i="8"/>
  <c r="F30" i="8" s="1"/>
  <c r="F15" i="8"/>
  <c r="F31" i="8" s="1"/>
  <c r="F16" i="8"/>
  <c r="F32" i="8" s="1"/>
  <c r="F17" i="8"/>
  <c r="F33" i="8" s="1"/>
  <c r="F18" i="8"/>
  <c r="F34" i="8" s="1"/>
  <c r="F19" i="8"/>
  <c r="F35" i="8" s="1"/>
  <c r="F20" i="8"/>
  <c r="F36" i="8" s="1"/>
  <c r="F21" i="8"/>
  <c r="F37" i="8" s="1"/>
  <c r="F22" i="8"/>
  <c r="F38" i="8" s="1"/>
  <c r="F10" i="8"/>
  <c r="B9" i="19"/>
  <c r="B10" i="19" s="1"/>
  <c r="J62" i="7"/>
  <c r="J97" i="7" s="1"/>
  <c r="J113" i="7" s="1"/>
  <c r="J63" i="7"/>
  <c r="J98" i="7" s="1"/>
  <c r="J114" i="7" s="1"/>
  <c r="J64" i="7"/>
  <c r="J99" i="7" s="1"/>
  <c r="J115" i="7" s="1"/>
  <c r="I44" i="7"/>
  <c r="I28" i="7"/>
  <c r="H41" i="7"/>
  <c r="J41" i="7"/>
  <c r="J78" i="7" s="1"/>
  <c r="H42" i="7"/>
  <c r="J42" i="7"/>
  <c r="J79" i="7" s="1"/>
  <c r="H43" i="7"/>
  <c r="J43" i="7"/>
  <c r="J80" i="7" s="1"/>
  <c r="H32" i="7"/>
  <c r="H33" i="7"/>
  <c r="H34" i="7"/>
  <c r="H35" i="7"/>
  <c r="H36" i="7"/>
  <c r="H37" i="7"/>
  <c r="H38" i="7"/>
  <c r="H39" i="7"/>
  <c r="H40" i="7"/>
  <c r="H31" i="7"/>
  <c r="H24" i="7"/>
  <c r="H16" i="7"/>
  <c r="H17" i="7"/>
  <c r="H18" i="7"/>
  <c r="H19" i="7"/>
  <c r="H20" i="7"/>
  <c r="H21" i="7"/>
  <c r="H22" i="7"/>
  <c r="H23" i="7"/>
  <c r="H15" i="7"/>
  <c r="J40" i="7"/>
  <c r="J77" i="7" s="1"/>
  <c r="J39" i="7"/>
  <c r="J76" i="7" s="1"/>
  <c r="J38" i="7"/>
  <c r="J75" i="7" s="1"/>
  <c r="J37" i="7"/>
  <c r="J74" i="7" s="1"/>
  <c r="J36" i="7"/>
  <c r="J73" i="7" s="1"/>
  <c r="J35" i="7"/>
  <c r="J72" i="7" s="1"/>
  <c r="J34" i="7"/>
  <c r="J71" i="7" s="1"/>
  <c r="J33" i="7"/>
  <c r="J70" i="7" s="1"/>
  <c r="J32" i="7"/>
  <c r="J69" i="7" s="1"/>
  <c r="J31" i="7"/>
  <c r="J68" i="7" s="1"/>
  <c r="J53" i="7"/>
  <c r="J88" i="7" s="1"/>
  <c r="J104" i="7" s="1"/>
  <c r="J54" i="7"/>
  <c r="J89" i="7" s="1"/>
  <c r="J105" i="7" s="1"/>
  <c r="J55" i="7"/>
  <c r="J90" i="7" s="1"/>
  <c r="J106" i="7" s="1"/>
  <c r="J56" i="7"/>
  <c r="J91" i="7" s="1"/>
  <c r="J107" i="7" s="1"/>
  <c r="J57" i="7"/>
  <c r="J92" i="7" s="1"/>
  <c r="J108" i="7" s="1"/>
  <c r="J58" i="7"/>
  <c r="J93" i="7" s="1"/>
  <c r="J109" i="7" s="1"/>
  <c r="J59" i="7"/>
  <c r="J94" i="7" s="1"/>
  <c r="J110" i="7" s="1"/>
  <c r="J60" i="7"/>
  <c r="J95" i="7" s="1"/>
  <c r="J111" i="7" s="1"/>
  <c r="J61" i="7"/>
  <c r="J96" i="7" s="1"/>
  <c r="J112" i="7" s="1"/>
  <c r="J52" i="7"/>
  <c r="J87" i="7" s="1"/>
  <c r="J103" i="7" s="1"/>
  <c r="C22" i="18"/>
  <c r="D22" i="18"/>
  <c r="E22" i="18"/>
  <c r="F22" i="18"/>
  <c r="G22" i="18"/>
  <c r="H22" i="18"/>
  <c r="I22" i="18"/>
  <c r="J22" i="18"/>
  <c r="K22" i="18"/>
  <c r="L22" i="18"/>
  <c r="M22" i="18"/>
  <c r="B22" i="18"/>
  <c r="N20" i="18"/>
  <c r="C7" i="18"/>
  <c r="C9" i="18" s="1"/>
  <c r="C11" i="18" s="1"/>
  <c r="D7" i="18"/>
  <c r="D9" i="18" s="1"/>
  <c r="D11" i="18" s="1"/>
  <c r="E7" i="18"/>
  <c r="F7" i="18"/>
  <c r="F9" i="18" s="1"/>
  <c r="G7" i="18"/>
  <c r="H7" i="18"/>
  <c r="H9" i="18" s="1"/>
  <c r="H11" i="18" s="1"/>
  <c r="B7" i="18"/>
  <c r="B9" i="18" s="1"/>
  <c r="B11" i="18" s="1"/>
  <c r="B12" i="18" s="1"/>
  <c r="H66" i="5"/>
  <c r="AD46" i="3" s="1"/>
  <c r="B54" i="5"/>
  <c r="J36" i="11" l="1"/>
  <c r="AE7" i="3"/>
  <c r="AR7" i="3"/>
  <c r="BE7" i="3"/>
  <c r="J123" i="7"/>
  <c r="F26" i="8"/>
  <c r="F44" i="8"/>
  <c r="F28" i="8"/>
  <c r="F46" i="8"/>
  <c r="F27" i="8"/>
  <c r="F45" i="8"/>
  <c r="F29" i="8"/>
  <c r="F47" i="8"/>
  <c r="AE41" i="3"/>
  <c r="R41" i="3"/>
  <c r="AR41" i="3"/>
  <c r="BE41" i="3"/>
  <c r="BG41" i="3"/>
  <c r="BR41" i="3" s="1"/>
  <c r="J121" i="7"/>
  <c r="J122" i="7"/>
  <c r="J124" i="7"/>
  <c r="C35" i="21"/>
  <c r="K14" i="11"/>
  <c r="L14" i="11" s="1"/>
  <c r="M14" i="11" s="1"/>
  <c r="N14" i="11" s="1"/>
  <c r="O14" i="11" s="1"/>
  <c r="P14" i="11" s="1"/>
  <c r="Q14" i="11" s="1"/>
  <c r="R14" i="11" s="1"/>
  <c r="S14" i="11" s="1"/>
  <c r="H16" i="18"/>
  <c r="I72" i="5"/>
  <c r="AB52" i="3"/>
  <c r="X52" i="3"/>
  <c r="T52" i="3"/>
  <c r="AA52" i="3"/>
  <c r="W52" i="3"/>
  <c r="S52" i="3"/>
  <c r="AD52" i="3"/>
  <c r="Z52" i="3"/>
  <c r="V52" i="3"/>
  <c r="AC52" i="3"/>
  <c r="Y52" i="3"/>
  <c r="U52" i="3"/>
  <c r="I84" i="5"/>
  <c r="AD57" i="3"/>
  <c r="Z57" i="3"/>
  <c r="V57" i="3"/>
  <c r="AC57" i="3"/>
  <c r="Y57" i="3"/>
  <c r="U57" i="3"/>
  <c r="X57" i="3"/>
  <c r="W57" i="3"/>
  <c r="AB57" i="3"/>
  <c r="T57" i="3"/>
  <c r="AA57" i="3"/>
  <c r="S57" i="3"/>
  <c r="I89" i="5"/>
  <c r="AD62" i="3"/>
  <c r="Z62" i="3"/>
  <c r="V62" i="3"/>
  <c r="AC62" i="3"/>
  <c r="AB62" i="3"/>
  <c r="W62" i="3"/>
  <c r="AA62" i="3"/>
  <c r="U62" i="3"/>
  <c r="Y62" i="3"/>
  <c r="T62" i="3"/>
  <c r="X62" i="3"/>
  <c r="S62" i="3"/>
  <c r="S43" i="3"/>
  <c r="W43" i="3"/>
  <c r="AA43" i="3"/>
  <c r="U46" i="3"/>
  <c r="AC46" i="3"/>
  <c r="I85" i="5"/>
  <c r="AD58" i="3"/>
  <c r="Z58" i="3"/>
  <c r="V58" i="3"/>
  <c r="AA58" i="3"/>
  <c r="U58" i="3"/>
  <c r="Y58" i="3"/>
  <c r="T58" i="3"/>
  <c r="AC58" i="3"/>
  <c r="X58" i="3"/>
  <c r="S58" i="3"/>
  <c r="AB58" i="3"/>
  <c r="W58" i="3"/>
  <c r="I90" i="5"/>
  <c r="AD63" i="3"/>
  <c r="Z63" i="3"/>
  <c r="V63" i="3"/>
  <c r="AC63" i="3"/>
  <c r="Y63" i="3"/>
  <c r="U63" i="3"/>
  <c r="X63" i="3"/>
  <c r="W63" i="3"/>
  <c r="AB63" i="3"/>
  <c r="T63" i="3"/>
  <c r="AA63" i="3"/>
  <c r="S63" i="3"/>
  <c r="T43" i="3"/>
  <c r="X43" i="3"/>
  <c r="AB43" i="3"/>
  <c r="V46" i="3"/>
  <c r="I66" i="5"/>
  <c r="AB46" i="3"/>
  <c r="X46" i="3"/>
  <c r="T46" i="3"/>
  <c r="AA46" i="3"/>
  <c r="W46" i="3"/>
  <c r="S46" i="3"/>
  <c r="I64" i="5"/>
  <c r="I86" i="5"/>
  <c r="AD59" i="3"/>
  <c r="Z59" i="3"/>
  <c r="V59" i="3"/>
  <c r="Y59" i="3"/>
  <c r="T59" i="3"/>
  <c r="AC59" i="3"/>
  <c r="X59" i="3"/>
  <c r="S59" i="3"/>
  <c r="AB59" i="3"/>
  <c r="W59" i="3"/>
  <c r="AA59" i="3"/>
  <c r="U59" i="3"/>
  <c r="U43" i="3"/>
  <c r="Y43" i="3"/>
  <c r="AC43" i="3"/>
  <c r="Y46" i="3"/>
  <c r="I71" i="5"/>
  <c r="AB51" i="3"/>
  <c r="X51" i="3"/>
  <c r="T51" i="3"/>
  <c r="AA51" i="3"/>
  <c r="W51" i="3"/>
  <c r="S51" i="3"/>
  <c r="AD51" i="3"/>
  <c r="Z51" i="3"/>
  <c r="V51" i="3"/>
  <c r="AC51" i="3"/>
  <c r="Y51" i="3"/>
  <c r="I83" i="5"/>
  <c r="AD56" i="3"/>
  <c r="Z56" i="3"/>
  <c r="V56" i="3"/>
  <c r="AC56" i="3"/>
  <c r="Y56" i="3"/>
  <c r="U56" i="3"/>
  <c r="AB56" i="3"/>
  <c r="T56" i="3"/>
  <c r="AA56" i="3"/>
  <c r="S56" i="3"/>
  <c r="X56" i="3"/>
  <c r="W56" i="3"/>
  <c r="I88" i="5"/>
  <c r="AD61" i="3"/>
  <c r="Z61" i="3"/>
  <c r="V61" i="3"/>
  <c r="AC61" i="3"/>
  <c r="X61" i="3"/>
  <c r="S61" i="3"/>
  <c r="AB61" i="3"/>
  <c r="W61" i="3"/>
  <c r="AA61" i="3"/>
  <c r="U61" i="3"/>
  <c r="Y61" i="3"/>
  <c r="T61" i="3"/>
  <c r="V43" i="3"/>
  <c r="Z43" i="3"/>
  <c r="Z46" i="3"/>
  <c r="U51" i="3"/>
  <c r="D100" i="13"/>
  <c r="D99" i="13"/>
  <c r="D98" i="13"/>
  <c r="D97" i="13"/>
  <c r="D96" i="13"/>
  <c r="D95" i="13"/>
  <c r="D94" i="13"/>
  <c r="D93" i="13"/>
  <c r="D92" i="13"/>
  <c r="E88" i="13"/>
  <c r="C84" i="13"/>
  <c r="D84" i="13"/>
  <c r="C82" i="13"/>
  <c r="D82" i="13"/>
  <c r="C80" i="13"/>
  <c r="D80" i="13"/>
  <c r="C78" i="13"/>
  <c r="D78" i="13"/>
  <c r="C76" i="13"/>
  <c r="D76" i="13"/>
  <c r="C74" i="13"/>
  <c r="D74" i="13"/>
  <c r="C72" i="13"/>
  <c r="D72" i="13"/>
  <c r="C70" i="13"/>
  <c r="D70" i="13"/>
  <c r="C68" i="13"/>
  <c r="D68" i="13"/>
  <c r="C66" i="13"/>
  <c r="D66" i="13"/>
  <c r="C64" i="13"/>
  <c r="D64" i="13"/>
  <c r="C62" i="13"/>
  <c r="D62" i="13"/>
  <c r="C60" i="13"/>
  <c r="D60" i="13"/>
  <c r="C58" i="13"/>
  <c r="D58" i="13"/>
  <c r="C56" i="13"/>
  <c r="D56" i="13"/>
  <c r="C54" i="13"/>
  <c r="D54" i="13"/>
  <c r="C52" i="13"/>
  <c r="D52" i="13"/>
  <c r="C50" i="13"/>
  <c r="D50" i="13"/>
  <c r="C48" i="13"/>
  <c r="D48" i="13"/>
  <c r="C46" i="13"/>
  <c r="D46" i="13"/>
  <c r="C44" i="13"/>
  <c r="D44" i="13"/>
  <c r="C42" i="13"/>
  <c r="D42" i="13"/>
  <c r="C40" i="13"/>
  <c r="D40" i="13"/>
  <c r="C38" i="13"/>
  <c r="D38" i="13"/>
  <c r="C36" i="13"/>
  <c r="D36" i="13"/>
  <c r="C34" i="13"/>
  <c r="D34" i="13"/>
  <c r="C32" i="13"/>
  <c r="D32" i="13"/>
  <c r="C30" i="13"/>
  <c r="C28" i="13"/>
  <c r="C26" i="13"/>
  <c r="C24" i="13"/>
  <c r="E89" i="13"/>
  <c r="D88" i="13"/>
  <c r="D89" i="13"/>
  <c r="C85" i="13"/>
  <c r="D85" i="13"/>
  <c r="C83" i="13"/>
  <c r="D83" i="13"/>
  <c r="C81" i="13"/>
  <c r="D81" i="13"/>
  <c r="C79" i="13"/>
  <c r="D79" i="13"/>
  <c r="C77" i="13"/>
  <c r="D77" i="13"/>
  <c r="C75" i="13"/>
  <c r="D75" i="13"/>
  <c r="C73" i="13"/>
  <c r="D73" i="13"/>
  <c r="C71" i="13"/>
  <c r="D71" i="13"/>
  <c r="C69" i="13"/>
  <c r="D69" i="13"/>
  <c r="C67" i="13"/>
  <c r="D67" i="13"/>
  <c r="C65" i="13"/>
  <c r="D65" i="13"/>
  <c r="C63" i="13"/>
  <c r="D63" i="13"/>
  <c r="C61" i="13"/>
  <c r="D61" i="13"/>
  <c r="C59" i="13"/>
  <c r="D59" i="13"/>
  <c r="C57" i="13"/>
  <c r="D57" i="13"/>
  <c r="C55" i="13"/>
  <c r="D55" i="13"/>
  <c r="C53" i="13"/>
  <c r="D53" i="13"/>
  <c r="C51" i="13"/>
  <c r="D51" i="13"/>
  <c r="C49" i="13"/>
  <c r="D49" i="13"/>
  <c r="C47" i="13"/>
  <c r="D47" i="13"/>
  <c r="C45" i="13"/>
  <c r="D45" i="13"/>
  <c r="C43" i="13"/>
  <c r="D43" i="13"/>
  <c r="C41" i="13"/>
  <c r="D41" i="13"/>
  <c r="C39" i="13"/>
  <c r="D39" i="13"/>
  <c r="C37" i="13"/>
  <c r="D37" i="13"/>
  <c r="C35" i="13"/>
  <c r="D35" i="13"/>
  <c r="C33" i="13"/>
  <c r="D33" i="13"/>
  <c r="C31" i="13"/>
  <c r="D31" i="13"/>
  <c r="C29" i="13"/>
  <c r="C27" i="13"/>
  <c r="C25" i="13"/>
  <c r="D8" i="13"/>
  <c r="D7" i="13"/>
  <c r="B8" i="19"/>
  <c r="A27" i="8"/>
  <c r="B27" i="8" s="1"/>
  <c r="A31" i="8"/>
  <c r="B31" i="8" s="1"/>
  <c r="A26" i="8"/>
  <c r="B26" i="8" s="1"/>
  <c r="A28" i="8"/>
  <c r="B28" i="8" s="1"/>
  <c r="A33" i="8"/>
  <c r="B33" i="8" s="1"/>
  <c r="A35" i="8"/>
  <c r="B35" i="8" s="1"/>
  <c r="A29" i="8"/>
  <c r="B29" i="8" s="1"/>
  <c r="A34" i="8"/>
  <c r="B34" i="8" s="1"/>
  <c r="A30" i="8"/>
  <c r="B30" i="8" s="1"/>
  <c r="D16" i="18"/>
  <c r="F16" i="18"/>
  <c r="C16" i="18"/>
  <c r="G9" i="18"/>
  <c r="G11" i="18" s="1"/>
  <c r="G16" i="18"/>
  <c r="E9" i="18"/>
  <c r="E11" i="18" s="1"/>
  <c r="E12" i="18" s="1"/>
  <c r="E16" i="18"/>
  <c r="E14" i="18"/>
  <c r="B16" i="18"/>
  <c r="B14" i="18"/>
  <c r="F14" i="18"/>
  <c r="C14" i="18"/>
  <c r="G14" i="18"/>
  <c r="D14" i="18"/>
  <c r="H14" i="18"/>
  <c r="F11" i="18"/>
  <c r="F12" i="18" s="1"/>
  <c r="I7" i="18"/>
  <c r="C49" i="18" s="1"/>
  <c r="H12" i="18"/>
  <c r="D12" i="18"/>
  <c r="C12" i="18"/>
  <c r="K36" i="11" l="1"/>
  <c r="C35" i="8"/>
  <c r="C31" i="8"/>
  <c r="C30" i="8"/>
  <c r="C33" i="8"/>
  <c r="C27" i="8"/>
  <c r="C34" i="8"/>
  <c r="C28" i="8"/>
  <c r="C29" i="8"/>
  <c r="C26" i="8"/>
  <c r="J86" i="5"/>
  <c r="AP59" i="3"/>
  <c r="AL59" i="3"/>
  <c r="AH59" i="3"/>
  <c r="AO59" i="3"/>
  <c r="AK59" i="3"/>
  <c r="AG59" i="3"/>
  <c r="AN59" i="3"/>
  <c r="AF59" i="3"/>
  <c r="AM59" i="3"/>
  <c r="AJ59" i="3"/>
  <c r="AQ59" i="3"/>
  <c r="AI59" i="3"/>
  <c r="J66" i="5"/>
  <c r="AO46" i="3"/>
  <c r="AK46" i="3"/>
  <c r="AG46" i="3"/>
  <c r="AN46" i="3"/>
  <c r="AJ46" i="3"/>
  <c r="AF46" i="3"/>
  <c r="AQ46" i="3"/>
  <c r="AM46" i="3"/>
  <c r="AI46" i="3"/>
  <c r="AL46" i="3"/>
  <c r="AH46" i="3"/>
  <c r="AP46" i="3"/>
  <c r="J89" i="5"/>
  <c r="AP62" i="3"/>
  <c r="AL62" i="3"/>
  <c r="AH62" i="3"/>
  <c r="AO62" i="3"/>
  <c r="AK62" i="3"/>
  <c r="AG62" i="3"/>
  <c r="AN62" i="3"/>
  <c r="AF62" i="3"/>
  <c r="AM62" i="3"/>
  <c r="AJ62" i="3"/>
  <c r="AQ62" i="3"/>
  <c r="AI62" i="3"/>
  <c r="J71" i="5"/>
  <c r="AO51" i="3"/>
  <c r="AK51" i="3"/>
  <c r="AG51" i="3"/>
  <c r="AN51" i="3"/>
  <c r="AJ51" i="3"/>
  <c r="AF51" i="3"/>
  <c r="AQ51" i="3"/>
  <c r="AM51" i="3"/>
  <c r="AI51" i="3"/>
  <c r="AP51" i="3"/>
  <c r="AL51" i="3"/>
  <c r="AH51" i="3"/>
  <c r="J64" i="5"/>
  <c r="AQ43" i="3"/>
  <c r="AM43" i="3"/>
  <c r="AI43" i="3"/>
  <c r="AP43" i="3"/>
  <c r="AL43" i="3"/>
  <c r="AH43" i="3"/>
  <c r="AO43" i="3"/>
  <c r="AK43" i="3"/>
  <c r="AG43" i="3"/>
  <c r="AN43" i="3"/>
  <c r="AJ43" i="3"/>
  <c r="AF43" i="3"/>
  <c r="J90" i="5"/>
  <c r="AP63" i="3"/>
  <c r="AL63" i="3"/>
  <c r="AH63" i="3"/>
  <c r="AO63" i="3"/>
  <c r="AK63" i="3"/>
  <c r="AG63" i="3"/>
  <c r="AJ63" i="3"/>
  <c r="AI63" i="3"/>
  <c r="AQ63" i="3"/>
  <c r="AN63" i="3"/>
  <c r="AF63" i="3"/>
  <c r="AM63" i="3"/>
  <c r="J84" i="5"/>
  <c r="AP57" i="3"/>
  <c r="AL57" i="3"/>
  <c r="AH57" i="3"/>
  <c r="AO57" i="3"/>
  <c r="AK57" i="3"/>
  <c r="AG57" i="3"/>
  <c r="AN57" i="3"/>
  <c r="AF57" i="3"/>
  <c r="AM57" i="3"/>
  <c r="AJ57" i="3"/>
  <c r="AQ57" i="3"/>
  <c r="AI57" i="3"/>
  <c r="J83" i="5"/>
  <c r="AQ56" i="3"/>
  <c r="AM56" i="3"/>
  <c r="AI56" i="3"/>
  <c r="AP56" i="3"/>
  <c r="AL56" i="3"/>
  <c r="AH56" i="3"/>
  <c r="AO56" i="3"/>
  <c r="AG56" i="3"/>
  <c r="AN56" i="3"/>
  <c r="AF56" i="3"/>
  <c r="AK56" i="3"/>
  <c r="AJ56" i="3"/>
  <c r="J88" i="5"/>
  <c r="AP61" i="3"/>
  <c r="AL61" i="3"/>
  <c r="AH61" i="3"/>
  <c r="AO61" i="3"/>
  <c r="AK61" i="3"/>
  <c r="AG61" i="3"/>
  <c r="AJ61" i="3"/>
  <c r="AQ61" i="3"/>
  <c r="AI61" i="3"/>
  <c r="AN61" i="3"/>
  <c r="AF61" i="3"/>
  <c r="AM61" i="3"/>
  <c r="J85" i="5"/>
  <c r="AP58" i="3"/>
  <c r="AL58" i="3"/>
  <c r="AH58" i="3"/>
  <c r="AO58" i="3"/>
  <c r="AK58" i="3"/>
  <c r="AG58" i="3"/>
  <c r="AJ58" i="3"/>
  <c r="AQ58" i="3"/>
  <c r="AI58" i="3"/>
  <c r="AN58" i="3"/>
  <c r="AF58" i="3"/>
  <c r="AM58" i="3"/>
  <c r="J72" i="5"/>
  <c r="AO52" i="3"/>
  <c r="AK52" i="3"/>
  <c r="AG52" i="3"/>
  <c r="AN52" i="3"/>
  <c r="AJ52" i="3"/>
  <c r="AF52" i="3"/>
  <c r="AQ52" i="3"/>
  <c r="AM52" i="3"/>
  <c r="AI52" i="3"/>
  <c r="AP52" i="3"/>
  <c r="AL52" i="3"/>
  <c r="AH52" i="3"/>
  <c r="G12" i="18"/>
  <c r="I12" i="18" s="1"/>
  <c r="I9" i="18"/>
  <c r="I16" i="18"/>
  <c r="J26" i="18" s="1"/>
  <c r="J27" i="18" s="1"/>
  <c r="I11" i="18"/>
  <c r="L23" i="18" s="1"/>
  <c r="V10" i="7" s="1"/>
  <c r="I14" i="18"/>
  <c r="L36" i="11" l="1"/>
  <c r="D28" i="8"/>
  <c r="D26" i="8"/>
  <c r="D34" i="8"/>
  <c r="D27" i="8"/>
  <c r="D29" i="8"/>
  <c r="D33" i="8"/>
  <c r="D31" i="8"/>
  <c r="D30" i="8"/>
  <c r="D35" i="8"/>
  <c r="L26" i="18"/>
  <c r="L27" i="18" s="1"/>
  <c r="I26" i="18"/>
  <c r="I27" i="18" s="1"/>
  <c r="D24" i="18"/>
  <c r="N27" i="7" s="1"/>
  <c r="AA27" i="7" s="1"/>
  <c r="K24" i="18"/>
  <c r="U25" i="7" s="1"/>
  <c r="AH25" i="7" s="1"/>
  <c r="H26" i="18"/>
  <c r="R41" i="7" s="1"/>
  <c r="AE41" i="7" s="1"/>
  <c r="AE78" i="7" s="1"/>
  <c r="F26" i="18"/>
  <c r="P36" i="7" s="1"/>
  <c r="AI10" i="7"/>
  <c r="P12" i="3"/>
  <c r="P23" i="3" s="1"/>
  <c r="O13" i="2" s="1"/>
  <c r="E26" i="18"/>
  <c r="O38" i="7" s="1"/>
  <c r="K89" i="5"/>
  <c r="BD62" i="3"/>
  <c r="AZ62" i="3"/>
  <c r="AV62" i="3"/>
  <c r="BC62" i="3"/>
  <c r="AY62" i="3"/>
  <c r="AU62" i="3"/>
  <c r="BB62" i="3"/>
  <c r="AT62" i="3"/>
  <c r="BA62" i="3"/>
  <c r="AS62" i="3"/>
  <c r="AX62" i="3"/>
  <c r="AW62" i="3"/>
  <c r="K72" i="5"/>
  <c r="BB52" i="3"/>
  <c r="AX52" i="3"/>
  <c r="AT52" i="3"/>
  <c r="BA52" i="3"/>
  <c r="AW52" i="3"/>
  <c r="AS52" i="3"/>
  <c r="BD52" i="3"/>
  <c r="AZ52" i="3"/>
  <c r="AV52" i="3"/>
  <c r="BC52" i="3"/>
  <c r="AY52" i="3"/>
  <c r="AU52" i="3"/>
  <c r="K64" i="5"/>
  <c r="BB43" i="3"/>
  <c r="BA43" i="3"/>
  <c r="AZ43" i="3"/>
  <c r="AV43" i="3"/>
  <c r="AY43" i="3"/>
  <c r="AU43" i="3"/>
  <c r="BD43" i="3"/>
  <c r="AX43" i="3"/>
  <c r="AT43" i="3"/>
  <c r="BC43" i="3"/>
  <c r="AW43" i="3"/>
  <c r="AS43" i="3"/>
  <c r="K66" i="5"/>
  <c r="BB46" i="3"/>
  <c r="AX46" i="3"/>
  <c r="AT46" i="3"/>
  <c r="BA46" i="3"/>
  <c r="AW46" i="3"/>
  <c r="AS46" i="3"/>
  <c r="BD46" i="3"/>
  <c r="AZ46" i="3"/>
  <c r="AV46" i="3"/>
  <c r="BC46" i="3"/>
  <c r="AY46" i="3"/>
  <c r="AU46" i="3"/>
  <c r="K88" i="5"/>
  <c r="BD61" i="3"/>
  <c r="AZ61" i="3"/>
  <c r="AV61" i="3"/>
  <c r="BC61" i="3"/>
  <c r="AY61" i="3"/>
  <c r="AU61" i="3"/>
  <c r="AX61" i="3"/>
  <c r="AW61" i="3"/>
  <c r="BB61" i="3"/>
  <c r="AT61" i="3"/>
  <c r="BA61" i="3"/>
  <c r="AS61" i="3"/>
  <c r="K84" i="5"/>
  <c r="BD57" i="3"/>
  <c r="AZ57" i="3"/>
  <c r="AV57" i="3"/>
  <c r="BC57" i="3"/>
  <c r="AY57" i="3"/>
  <c r="AU57" i="3"/>
  <c r="BB57" i="3"/>
  <c r="AT57" i="3"/>
  <c r="BA57" i="3"/>
  <c r="AS57" i="3"/>
  <c r="AX57" i="3"/>
  <c r="AW57" i="3"/>
  <c r="K71" i="5"/>
  <c r="BB51" i="3"/>
  <c r="AX51" i="3"/>
  <c r="AT51" i="3"/>
  <c r="BA51" i="3"/>
  <c r="AW51" i="3"/>
  <c r="AS51" i="3"/>
  <c r="BD51" i="3"/>
  <c r="AZ51" i="3"/>
  <c r="AV51" i="3"/>
  <c r="BC51" i="3"/>
  <c r="AY51" i="3"/>
  <c r="AU51" i="3"/>
  <c r="K90" i="5"/>
  <c r="BD63" i="3"/>
  <c r="AZ63" i="3"/>
  <c r="AV63" i="3"/>
  <c r="BC63" i="3"/>
  <c r="AY63" i="3"/>
  <c r="AU63" i="3"/>
  <c r="AX63" i="3"/>
  <c r="AW63" i="3"/>
  <c r="BB63" i="3"/>
  <c r="AT63" i="3"/>
  <c r="BA63" i="3"/>
  <c r="AS63" i="3"/>
  <c r="K85" i="5"/>
  <c r="BD58" i="3"/>
  <c r="AZ58" i="3"/>
  <c r="AV58" i="3"/>
  <c r="BC58" i="3"/>
  <c r="AY58" i="3"/>
  <c r="AU58" i="3"/>
  <c r="AX58" i="3"/>
  <c r="AW58" i="3"/>
  <c r="BB58" i="3"/>
  <c r="AT58" i="3"/>
  <c r="BA58" i="3"/>
  <c r="AS58" i="3"/>
  <c r="K83" i="5"/>
  <c r="BD56" i="3"/>
  <c r="AZ56" i="3"/>
  <c r="AV56" i="3"/>
  <c r="BC56" i="3"/>
  <c r="AY56" i="3"/>
  <c r="AU56" i="3"/>
  <c r="AX56" i="3"/>
  <c r="AW56" i="3"/>
  <c r="BB56" i="3"/>
  <c r="AT56" i="3"/>
  <c r="BA56" i="3"/>
  <c r="AS56" i="3"/>
  <c r="K86" i="5"/>
  <c r="BD59" i="3"/>
  <c r="AZ59" i="3"/>
  <c r="AV59" i="3"/>
  <c r="BC59" i="3"/>
  <c r="AY59" i="3"/>
  <c r="AU59" i="3"/>
  <c r="BB59" i="3"/>
  <c r="AT59" i="3"/>
  <c r="BA59" i="3"/>
  <c r="AS59" i="3"/>
  <c r="AX59" i="3"/>
  <c r="AW59" i="3"/>
  <c r="F23" i="18"/>
  <c r="P10" i="7" s="1"/>
  <c r="H24" i="18"/>
  <c r="R25" i="7" s="1"/>
  <c r="AE25" i="7" s="1"/>
  <c r="I23" i="18"/>
  <c r="S10" i="7" s="1"/>
  <c r="M26" i="18"/>
  <c r="B26" i="18"/>
  <c r="L43" i="7" s="1"/>
  <c r="Y43" i="7" s="1"/>
  <c r="Y80" i="7" s="1"/>
  <c r="D26" i="18"/>
  <c r="K23" i="18"/>
  <c r="U10" i="7" s="1"/>
  <c r="E23" i="18"/>
  <c r="O10" i="7" s="1"/>
  <c r="K26" i="18"/>
  <c r="U37" i="7" s="1"/>
  <c r="F24" i="18"/>
  <c r="P21" i="7" s="1"/>
  <c r="B23" i="18"/>
  <c r="L10" i="7" s="1"/>
  <c r="H23" i="18"/>
  <c r="R10" i="7" s="1"/>
  <c r="G26" i="18"/>
  <c r="Q34" i="7" s="1"/>
  <c r="C26" i="18"/>
  <c r="D23" i="18"/>
  <c r="N10" i="7" s="1"/>
  <c r="J23" i="18"/>
  <c r="T10" i="7" s="1"/>
  <c r="G23" i="18"/>
  <c r="Q10" i="7" s="1"/>
  <c r="L24" i="18"/>
  <c r="V22" i="7" s="1"/>
  <c r="L33" i="7"/>
  <c r="R27" i="7"/>
  <c r="AE27" i="7" s="1"/>
  <c r="Q43" i="7"/>
  <c r="AD43" i="7" s="1"/>
  <c r="AD80" i="7" s="1"/>
  <c r="T41" i="7"/>
  <c r="AG41" i="7" s="1"/>
  <c r="AG78" i="7" s="1"/>
  <c r="T43" i="7"/>
  <c r="AG43" i="7" s="1"/>
  <c r="AG80" i="7" s="1"/>
  <c r="T32" i="7"/>
  <c r="T33" i="7"/>
  <c r="T34" i="7"/>
  <c r="T35" i="7"/>
  <c r="T39" i="7"/>
  <c r="T36" i="7"/>
  <c r="T37" i="7"/>
  <c r="T38" i="7"/>
  <c r="T40" i="7"/>
  <c r="T42" i="7"/>
  <c r="AG42" i="7" s="1"/>
  <c r="AG79" i="7" s="1"/>
  <c r="T31" i="7"/>
  <c r="O36" i="7"/>
  <c r="J24" i="18"/>
  <c r="T20" i="7" s="1"/>
  <c r="E24" i="18"/>
  <c r="O24" i="7" s="1"/>
  <c r="I24" i="18"/>
  <c r="S18" i="7" s="1"/>
  <c r="C24" i="18"/>
  <c r="M16" i="7" s="1"/>
  <c r="M24" i="18"/>
  <c r="W16" i="7" s="1"/>
  <c r="B24" i="18"/>
  <c r="L24" i="7" s="1"/>
  <c r="G24" i="18"/>
  <c r="Q19" i="7" s="1"/>
  <c r="V38" i="7"/>
  <c r="S41" i="7"/>
  <c r="AF41" i="7" s="1"/>
  <c r="AF78" i="7" s="1"/>
  <c r="S43" i="7"/>
  <c r="AF43" i="7" s="1"/>
  <c r="AF80" i="7" s="1"/>
  <c r="S32" i="7"/>
  <c r="S34" i="7"/>
  <c r="S36" i="7"/>
  <c r="S40" i="7"/>
  <c r="S37" i="7"/>
  <c r="S38" i="7"/>
  <c r="S42" i="7"/>
  <c r="AF42" i="7" s="1"/>
  <c r="AF79" i="7" s="1"/>
  <c r="S35" i="7"/>
  <c r="P32" i="7"/>
  <c r="P38" i="7"/>
  <c r="C23" i="18"/>
  <c r="M10" i="7" s="1"/>
  <c r="M23" i="18"/>
  <c r="W10" i="7" s="1"/>
  <c r="Q22" i="7"/>
  <c r="P18" i="7"/>
  <c r="P22" i="7"/>
  <c r="P16" i="7"/>
  <c r="R16" i="7"/>
  <c r="R19" i="7"/>
  <c r="R24" i="7"/>
  <c r="D25" i="18"/>
  <c r="N9" i="7" s="1"/>
  <c r="H25" i="18"/>
  <c r="R9" i="7" s="1"/>
  <c r="L25" i="18"/>
  <c r="V9" i="7" s="1"/>
  <c r="C25" i="18"/>
  <c r="M9" i="7" s="1"/>
  <c r="E25" i="18"/>
  <c r="O9" i="7" s="1"/>
  <c r="I25" i="18"/>
  <c r="S9" i="7" s="1"/>
  <c r="M25" i="18"/>
  <c r="W9" i="7" s="1"/>
  <c r="G25" i="18"/>
  <c r="Q9" i="7" s="1"/>
  <c r="F25" i="18"/>
  <c r="P9" i="7" s="1"/>
  <c r="J25" i="18"/>
  <c r="T9" i="7" s="1"/>
  <c r="B25" i="18"/>
  <c r="L9" i="7" s="1"/>
  <c r="F11" i="3" s="1"/>
  <c r="K25" i="18"/>
  <c r="U9" i="7" s="1"/>
  <c r="M36" i="11" l="1"/>
  <c r="R31" i="7"/>
  <c r="O34" i="7"/>
  <c r="V37" i="7"/>
  <c r="V109" i="7" s="1"/>
  <c r="N15" i="7"/>
  <c r="N87" i="7" s="1"/>
  <c r="N26" i="7"/>
  <c r="AA26" i="7" s="1"/>
  <c r="N23" i="7"/>
  <c r="V20" i="7"/>
  <c r="V92" i="7" s="1"/>
  <c r="U15" i="8" s="1"/>
  <c r="N19" i="7"/>
  <c r="N91" i="7" s="1"/>
  <c r="M14" i="8" s="1"/>
  <c r="S17" i="7"/>
  <c r="V34" i="7"/>
  <c r="O41" i="7"/>
  <c r="AB41" i="7" s="1"/>
  <c r="AB78" i="7" s="1"/>
  <c r="Q40" i="7"/>
  <c r="Q112" i="7" s="1"/>
  <c r="P35" i="8" s="1"/>
  <c r="L38" i="7"/>
  <c r="V41" i="7"/>
  <c r="AI41" i="7" s="1"/>
  <c r="AI78" i="7" s="1"/>
  <c r="R43" i="7"/>
  <c r="AE43" i="7" s="1"/>
  <c r="AE80" i="7" s="1"/>
  <c r="Q36" i="7"/>
  <c r="Q108" i="7" s="1"/>
  <c r="P31" i="8" s="1"/>
  <c r="L37" i="7"/>
  <c r="N22" i="7"/>
  <c r="N18" i="7"/>
  <c r="N90" i="7" s="1"/>
  <c r="N25" i="7"/>
  <c r="AA25" i="7" s="1"/>
  <c r="AA62" i="7" s="1"/>
  <c r="N17" i="7"/>
  <c r="N89" i="7" s="1"/>
  <c r="N21" i="7"/>
  <c r="N24" i="7"/>
  <c r="AA24" i="7" s="1"/>
  <c r="N20" i="7"/>
  <c r="N92" i="7" s="1"/>
  <c r="M15" i="8" s="1"/>
  <c r="N16" i="7"/>
  <c r="AA16" i="7" s="1"/>
  <c r="Q38" i="7"/>
  <c r="AA98" i="7"/>
  <c r="Z21" i="8" s="1"/>
  <c r="AA63" i="7"/>
  <c r="AA99" i="7"/>
  <c r="Z22" i="8" s="1"/>
  <c r="AA64" i="7"/>
  <c r="Q42" i="7"/>
  <c r="AD42" i="7" s="1"/>
  <c r="AD79" i="7" s="1"/>
  <c r="AA97" i="7"/>
  <c r="Z20" i="8" s="1"/>
  <c r="AE97" i="7"/>
  <c r="AD20" i="8" s="1"/>
  <c r="AE62" i="7"/>
  <c r="AE99" i="7"/>
  <c r="AD22" i="8" s="1"/>
  <c r="AE64" i="7"/>
  <c r="AH97" i="7"/>
  <c r="AG20" i="8" s="1"/>
  <c r="AH62" i="7"/>
  <c r="E27" i="8"/>
  <c r="E31" i="8"/>
  <c r="E34" i="8"/>
  <c r="E35" i="8"/>
  <c r="E33" i="8"/>
  <c r="E26" i="8"/>
  <c r="E30" i="8"/>
  <c r="E29" i="8"/>
  <c r="E28" i="8"/>
  <c r="V43" i="7"/>
  <c r="AI43" i="7" s="1"/>
  <c r="AI80" i="7" s="1"/>
  <c r="V35" i="7"/>
  <c r="V31" i="7"/>
  <c r="AI31" i="7" s="1"/>
  <c r="AI68" i="7" s="1"/>
  <c r="V40" i="7"/>
  <c r="V112" i="7" s="1"/>
  <c r="U35" i="8" s="1"/>
  <c r="V33" i="7"/>
  <c r="V105" i="7" s="1"/>
  <c r="U28" i="8" s="1"/>
  <c r="W15" i="7"/>
  <c r="U21" i="7"/>
  <c r="U93" i="7" s="1"/>
  <c r="AV10" i="7"/>
  <c r="AP12" i="3" s="1"/>
  <c r="AP23" i="3" s="1"/>
  <c r="AO13" i="2" s="1"/>
  <c r="AC12" i="3"/>
  <c r="W33" i="7"/>
  <c r="W105" i="7" s="1"/>
  <c r="V28" i="8" s="1"/>
  <c r="M27" i="18"/>
  <c r="R22" i="7"/>
  <c r="R94" i="7" s="1"/>
  <c r="Q17" i="8" s="1"/>
  <c r="P23" i="7"/>
  <c r="AC23" i="7" s="1"/>
  <c r="S21" i="7"/>
  <c r="S39" i="7"/>
  <c r="AF39" i="7" s="1"/>
  <c r="AF76" i="7" s="1"/>
  <c r="S31" i="7"/>
  <c r="S103" i="7" s="1"/>
  <c r="R26" i="8" s="1"/>
  <c r="S33" i="7"/>
  <c r="S105" i="7" s="1"/>
  <c r="R28" i="8" s="1"/>
  <c r="V39" i="7"/>
  <c r="V36" i="7"/>
  <c r="AI36" i="7" s="1"/>
  <c r="AI73" i="7" s="1"/>
  <c r="V32" i="7"/>
  <c r="V104" i="7" s="1"/>
  <c r="U27" i="8" s="1"/>
  <c r="V42" i="7"/>
  <c r="AI42" i="7" s="1"/>
  <c r="AV42" i="7" s="1"/>
  <c r="AV79" i="7" s="1"/>
  <c r="Q31" i="7"/>
  <c r="L40" i="7"/>
  <c r="L112" i="7" s="1"/>
  <c r="K35" i="8" s="1"/>
  <c r="M42" i="7"/>
  <c r="Z42" i="7" s="1"/>
  <c r="Z79" i="7" s="1"/>
  <c r="C27" i="18"/>
  <c r="N43" i="7"/>
  <c r="AA43" i="7" s="1"/>
  <c r="AA80" i="7" s="1"/>
  <c r="D27" i="18"/>
  <c r="P33" i="7"/>
  <c r="P105" i="7" s="1"/>
  <c r="O28" i="8" s="1"/>
  <c r="F27" i="18"/>
  <c r="W37" i="7"/>
  <c r="W109" i="7" s="1"/>
  <c r="Q32" i="7"/>
  <c r="AD32" i="7" s="1"/>
  <c r="AD69" i="7" s="1"/>
  <c r="G27" i="18"/>
  <c r="U36" i="7"/>
  <c r="U108" i="7" s="1"/>
  <c r="T31" i="8" s="1"/>
  <c r="K27" i="18"/>
  <c r="L32" i="7"/>
  <c r="L104" i="7" s="1"/>
  <c r="K27" i="8" s="1"/>
  <c r="B27" i="18"/>
  <c r="O43" i="7"/>
  <c r="AB43" i="7" s="1"/>
  <c r="AB80" i="7" s="1"/>
  <c r="E27" i="18"/>
  <c r="R33" i="7"/>
  <c r="AE33" i="7" s="1"/>
  <c r="AE70" i="7" s="1"/>
  <c r="H27" i="18"/>
  <c r="AC23" i="3"/>
  <c r="AB13" i="2" s="1"/>
  <c r="U43" i="7"/>
  <c r="AH43" i="7" s="1"/>
  <c r="AH80" i="7" s="1"/>
  <c r="U39" i="7"/>
  <c r="U111" i="7" s="1"/>
  <c r="T34" i="8" s="1"/>
  <c r="W32" i="7"/>
  <c r="W104" i="7" s="1"/>
  <c r="V27" i="8" s="1"/>
  <c r="W36" i="7"/>
  <c r="W108" i="7" s="1"/>
  <c r="V31" i="8" s="1"/>
  <c r="N42" i="7"/>
  <c r="AA42" i="7" s="1"/>
  <c r="M37" i="7"/>
  <c r="M109" i="7" s="1"/>
  <c r="U19" i="7"/>
  <c r="AH19" i="7" s="1"/>
  <c r="U26" i="7"/>
  <c r="AH26" i="7" s="1"/>
  <c r="U15" i="7"/>
  <c r="AH15" i="7" s="1"/>
  <c r="U17" i="7"/>
  <c r="AH17" i="7" s="1"/>
  <c r="U34" i="7"/>
  <c r="U106" i="7" s="1"/>
  <c r="T29" i="8" s="1"/>
  <c r="U35" i="7"/>
  <c r="U107" i="7" s="1"/>
  <c r="T30" i="8" s="1"/>
  <c r="U22" i="7"/>
  <c r="U94" i="7" s="1"/>
  <c r="T17" i="8" s="1"/>
  <c r="U41" i="7"/>
  <c r="AH41" i="7" s="1"/>
  <c r="U42" i="7"/>
  <c r="AH42" i="7" s="1"/>
  <c r="L35" i="7"/>
  <c r="Y35" i="7" s="1"/>
  <c r="Y72" i="7" s="1"/>
  <c r="M35" i="7"/>
  <c r="M107" i="7" s="1"/>
  <c r="L30" i="8" s="1"/>
  <c r="N32" i="7"/>
  <c r="N104" i="7" s="1"/>
  <c r="M27" i="8" s="1"/>
  <c r="M31" i="7"/>
  <c r="Z31" i="7" s="1"/>
  <c r="Z68" i="7" s="1"/>
  <c r="N40" i="7"/>
  <c r="N112" i="7" s="1"/>
  <c r="M35" i="8" s="1"/>
  <c r="M43" i="7"/>
  <c r="Z43" i="7" s="1"/>
  <c r="M40" i="7"/>
  <c r="Z40" i="7" s="1"/>
  <c r="Z77" i="7" s="1"/>
  <c r="M36" i="7"/>
  <c r="M108" i="7" s="1"/>
  <c r="L31" i="8" s="1"/>
  <c r="N39" i="7"/>
  <c r="N111" i="7" s="1"/>
  <c r="M34" i="8" s="1"/>
  <c r="N41" i="7"/>
  <c r="AA41" i="7" s="1"/>
  <c r="N36" i="7"/>
  <c r="N108" i="7" s="1"/>
  <c r="M31" i="8" s="1"/>
  <c r="M32" i="7"/>
  <c r="Z32" i="7" s="1"/>
  <c r="Z69" i="7" s="1"/>
  <c r="M39" i="7"/>
  <c r="M111" i="7" s="1"/>
  <c r="L34" i="8" s="1"/>
  <c r="M33" i="7"/>
  <c r="Z33" i="7" s="1"/>
  <c r="Z70" i="7" s="1"/>
  <c r="N34" i="7"/>
  <c r="N106" i="7" s="1"/>
  <c r="M29" i="8" s="1"/>
  <c r="N33" i="7"/>
  <c r="AA33" i="7" s="1"/>
  <c r="AA70" i="7" s="1"/>
  <c r="N35" i="7"/>
  <c r="AA35" i="7" s="1"/>
  <c r="AA72" i="7" s="1"/>
  <c r="M34" i="7"/>
  <c r="Z34" i="7" s="1"/>
  <c r="Z71" i="7" s="1"/>
  <c r="M41" i="7"/>
  <c r="Z41" i="7" s="1"/>
  <c r="M38" i="7"/>
  <c r="Z38" i="7" s="1"/>
  <c r="Z75" i="7" s="1"/>
  <c r="N38" i="7"/>
  <c r="AA38" i="7" s="1"/>
  <c r="AA75" i="7" s="1"/>
  <c r="N37" i="7"/>
  <c r="N109" i="7" s="1"/>
  <c r="N31" i="7"/>
  <c r="N103" i="7" s="1"/>
  <c r="M26" i="8" s="1"/>
  <c r="O40" i="7"/>
  <c r="O112" i="7" s="1"/>
  <c r="N35" i="8" s="1"/>
  <c r="O42" i="7"/>
  <c r="AB42" i="7" s="1"/>
  <c r="O33" i="7"/>
  <c r="AB33" i="7" s="1"/>
  <c r="AB70" i="7" s="1"/>
  <c r="R36" i="7"/>
  <c r="R108" i="7" s="1"/>
  <c r="Q31" i="8" s="1"/>
  <c r="R39" i="7"/>
  <c r="R111" i="7" s="1"/>
  <c r="Q34" i="8" s="1"/>
  <c r="R37" i="7"/>
  <c r="R109" i="7" s="1"/>
  <c r="R42" i="7"/>
  <c r="AE42" i="7" s="1"/>
  <c r="O37" i="7"/>
  <c r="AB37" i="7" s="1"/>
  <c r="AB74" i="7" s="1"/>
  <c r="O39" i="7"/>
  <c r="O111" i="7" s="1"/>
  <c r="N34" i="8" s="1"/>
  <c r="O32" i="7"/>
  <c r="AB32" i="7" s="1"/>
  <c r="AB69" i="7" s="1"/>
  <c r="R32" i="7"/>
  <c r="R104" i="7" s="1"/>
  <c r="Q27" i="8" s="1"/>
  <c r="R40" i="7"/>
  <c r="AE40" i="7" s="1"/>
  <c r="AE77" i="7" s="1"/>
  <c r="R34" i="7"/>
  <c r="R106" i="7" s="1"/>
  <c r="Q29" i="8" s="1"/>
  <c r="O31" i="7"/>
  <c r="O103" i="7" s="1"/>
  <c r="N26" i="8" s="1"/>
  <c r="O35" i="7"/>
  <c r="R35" i="7"/>
  <c r="R107" i="7" s="1"/>
  <c r="Q30" i="8" s="1"/>
  <c r="R38" i="7"/>
  <c r="R110" i="7" s="1"/>
  <c r="Q33" i="8" s="1"/>
  <c r="T22" i="7"/>
  <c r="T94" i="7" s="1"/>
  <c r="S17" i="8" s="1"/>
  <c r="W23" i="7"/>
  <c r="W95" i="7" s="1"/>
  <c r="V18" i="8" s="1"/>
  <c r="R20" i="7"/>
  <c r="R92" i="7" s="1"/>
  <c r="Q15" i="8" s="1"/>
  <c r="R15" i="7"/>
  <c r="AE15" i="7" s="1"/>
  <c r="P24" i="7"/>
  <c r="P96" i="7" s="1"/>
  <c r="O19" i="8" s="1"/>
  <c r="P15" i="7"/>
  <c r="P87" i="7" s="1"/>
  <c r="R26" i="7"/>
  <c r="AE26" i="7" s="1"/>
  <c r="R23" i="7"/>
  <c r="AE23" i="7" s="1"/>
  <c r="R18" i="7"/>
  <c r="R90" i="7" s="1"/>
  <c r="U23" i="7"/>
  <c r="AH23" i="7" s="1"/>
  <c r="U18" i="7"/>
  <c r="U90" i="7" s="1"/>
  <c r="P20" i="7"/>
  <c r="P92" i="7" s="1"/>
  <c r="O15" i="8" s="1"/>
  <c r="P19" i="7"/>
  <c r="AC19" i="7" s="1"/>
  <c r="P27" i="7"/>
  <c r="AC27" i="7" s="1"/>
  <c r="U27" i="7"/>
  <c r="AH27" i="7" s="1"/>
  <c r="T15" i="7"/>
  <c r="T87" i="7" s="1"/>
  <c r="T24" i="7"/>
  <c r="T96" i="7" s="1"/>
  <c r="S19" i="8" s="1"/>
  <c r="W19" i="7"/>
  <c r="W91" i="7" s="1"/>
  <c r="V14" i="8" s="1"/>
  <c r="W22" i="7"/>
  <c r="W94" i="7" s="1"/>
  <c r="V17" i="8" s="1"/>
  <c r="T16" i="7"/>
  <c r="T88" i="7" s="1"/>
  <c r="Q18" i="7"/>
  <c r="AD18" i="7" s="1"/>
  <c r="W18" i="7"/>
  <c r="AJ18" i="7" s="1"/>
  <c r="P26" i="7"/>
  <c r="AC26" i="7" s="1"/>
  <c r="V18" i="7"/>
  <c r="V90" i="7" s="1"/>
  <c r="V16" i="7"/>
  <c r="V88" i="7" s="1"/>
  <c r="V24" i="7"/>
  <c r="V96" i="7" s="1"/>
  <c r="U19" i="8" s="1"/>
  <c r="M19" i="7"/>
  <c r="M91" i="7" s="1"/>
  <c r="L14" i="8" s="1"/>
  <c r="P25" i="7"/>
  <c r="AC25" i="7" s="1"/>
  <c r="O20" i="7"/>
  <c r="O92" i="7" s="1"/>
  <c r="N15" i="8" s="1"/>
  <c r="T19" i="7"/>
  <c r="AG19" i="7" s="1"/>
  <c r="T23" i="7"/>
  <c r="T95" i="7" s="1"/>
  <c r="S18" i="8" s="1"/>
  <c r="T21" i="7"/>
  <c r="T93" i="7" s="1"/>
  <c r="L18" i="7"/>
  <c r="L90" i="7" s="1"/>
  <c r="W21" i="7"/>
  <c r="AJ21" i="7" s="1"/>
  <c r="W17" i="7"/>
  <c r="W89" i="7" s="1"/>
  <c r="T18" i="7"/>
  <c r="T90" i="7" s="1"/>
  <c r="T17" i="7"/>
  <c r="T89" i="7" s="1"/>
  <c r="R21" i="7"/>
  <c r="R93" i="7" s="1"/>
  <c r="R17" i="7"/>
  <c r="R89" i="7" s="1"/>
  <c r="U24" i="7"/>
  <c r="U96" i="7" s="1"/>
  <c r="T19" i="8" s="1"/>
  <c r="U20" i="7"/>
  <c r="AH20" i="7" s="1"/>
  <c r="U16" i="7"/>
  <c r="U88" i="7" s="1"/>
  <c r="P17" i="7"/>
  <c r="AC17" i="7" s="1"/>
  <c r="W24" i="7"/>
  <c r="W96" i="7" s="1"/>
  <c r="V19" i="8" s="1"/>
  <c r="W20" i="7"/>
  <c r="AJ20" i="7" s="1"/>
  <c r="AD9" i="7"/>
  <c r="X11" i="3" s="1"/>
  <c r="K11" i="3"/>
  <c r="AG10" i="7"/>
  <c r="N12" i="3"/>
  <c r="N23" i="3" s="1"/>
  <c r="M13" i="2" s="1"/>
  <c r="AB10" i="7"/>
  <c r="I12" i="3"/>
  <c r="F12" i="2"/>
  <c r="F22" i="3"/>
  <c r="AJ9" i="7"/>
  <c r="Q11" i="3"/>
  <c r="AI9" i="7"/>
  <c r="P11" i="3"/>
  <c r="M15" i="7"/>
  <c r="Z15" i="7" s="1"/>
  <c r="M17" i="7"/>
  <c r="M89" i="7" s="1"/>
  <c r="Z10" i="7"/>
  <c r="T12" i="3" s="1"/>
  <c r="G12" i="3"/>
  <c r="P31" i="7"/>
  <c r="AC31" i="7" s="1"/>
  <c r="AC68" i="7" s="1"/>
  <c r="P42" i="7"/>
  <c r="AC42" i="7" s="1"/>
  <c r="P43" i="7"/>
  <c r="AC43" i="7" s="1"/>
  <c r="W39" i="7"/>
  <c r="AJ39" i="7" s="1"/>
  <c r="AJ76" i="7" s="1"/>
  <c r="W42" i="7"/>
  <c r="AJ42" i="7" s="1"/>
  <c r="AJ79" i="7" s="1"/>
  <c r="W43" i="7"/>
  <c r="AJ43" i="7" s="1"/>
  <c r="AJ80" i="7" s="1"/>
  <c r="AA10" i="7"/>
  <c r="H12" i="3"/>
  <c r="Y10" i="7"/>
  <c r="F12" i="3"/>
  <c r="AH10" i="7"/>
  <c r="O12" i="3"/>
  <c r="O23" i="3" s="1"/>
  <c r="N13" i="2" s="1"/>
  <c r="AF10" i="7"/>
  <c r="M12" i="3"/>
  <c r="M23" i="3" s="1"/>
  <c r="L13" i="2" s="1"/>
  <c r="Z9" i="7"/>
  <c r="T11" i="3" s="1"/>
  <c r="G11" i="3"/>
  <c r="AJ10" i="7"/>
  <c r="Q12" i="3"/>
  <c r="Q23" i="3" s="1"/>
  <c r="P13" i="2" s="1"/>
  <c r="AE10" i="7"/>
  <c r="L12" i="3"/>
  <c r="L23" i="3" s="1"/>
  <c r="K13" i="2" s="1"/>
  <c r="AF9" i="7"/>
  <c r="Z11" i="3" s="1"/>
  <c r="M11" i="3"/>
  <c r="M23" i="7"/>
  <c r="M95" i="7" s="1"/>
  <c r="L18" i="8" s="1"/>
  <c r="P40" i="7"/>
  <c r="P112" i="7" s="1"/>
  <c r="O35" i="8" s="1"/>
  <c r="P39" i="7"/>
  <c r="P111" i="7" s="1"/>
  <c r="O34" i="8" s="1"/>
  <c r="P34" i="7"/>
  <c r="AC34" i="7" s="1"/>
  <c r="AC71" i="7" s="1"/>
  <c r="P41" i="7"/>
  <c r="AC41" i="7" s="1"/>
  <c r="W40" i="7"/>
  <c r="W112" i="7" s="1"/>
  <c r="V35" i="8" s="1"/>
  <c r="W35" i="7"/>
  <c r="W107" i="7" s="1"/>
  <c r="V30" i="8" s="1"/>
  <c r="W34" i="7"/>
  <c r="W106" i="7" s="1"/>
  <c r="V29" i="8" s="1"/>
  <c r="W41" i="7"/>
  <c r="AJ41" i="7" s="1"/>
  <c r="AH9" i="7"/>
  <c r="O11" i="3"/>
  <c r="AG9" i="7"/>
  <c r="N11" i="3"/>
  <c r="AE9" i="7"/>
  <c r="L11" i="3"/>
  <c r="AC9" i="7"/>
  <c r="J11" i="3"/>
  <c r="AB9" i="7"/>
  <c r="I11" i="3"/>
  <c r="AA9" i="7"/>
  <c r="H11" i="3"/>
  <c r="M21" i="7"/>
  <c r="M93" i="7" s="1"/>
  <c r="P37" i="7"/>
  <c r="P109" i="7" s="1"/>
  <c r="P35" i="7"/>
  <c r="P107" i="7" s="1"/>
  <c r="O30" i="8" s="1"/>
  <c r="W31" i="7"/>
  <c r="W103" i="7" s="1"/>
  <c r="V26" i="8" s="1"/>
  <c r="W38" i="7"/>
  <c r="W110" i="7" s="1"/>
  <c r="V33" i="8" s="1"/>
  <c r="AD10" i="7"/>
  <c r="K12" i="3"/>
  <c r="AC10" i="7"/>
  <c r="J12" i="3"/>
  <c r="BQ63" i="3"/>
  <c r="BM63" i="3"/>
  <c r="BI63" i="3"/>
  <c r="BP63" i="3"/>
  <c r="BL63" i="3"/>
  <c r="BH63" i="3"/>
  <c r="BO63" i="3"/>
  <c r="BG63" i="3"/>
  <c r="BN63" i="3"/>
  <c r="BF63" i="3"/>
  <c r="BK63" i="3"/>
  <c r="BJ63" i="3"/>
  <c r="BO46" i="3"/>
  <c r="BK46" i="3"/>
  <c r="BG46" i="3"/>
  <c r="BN46" i="3"/>
  <c r="BJ46" i="3"/>
  <c r="BF46" i="3"/>
  <c r="BQ46" i="3"/>
  <c r="BM46" i="3"/>
  <c r="BI46" i="3"/>
  <c r="BP46" i="3"/>
  <c r="BL46" i="3"/>
  <c r="BH46" i="3"/>
  <c r="BQ59" i="3"/>
  <c r="BM59" i="3"/>
  <c r="BI59" i="3"/>
  <c r="BP59" i="3"/>
  <c r="BL59" i="3"/>
  <c r="BH59" i="3"/>
  <c r="BK59" i="3"/>
  <c r="BJ59" i="3"/>
  <c r="BO59" i="3"/>
  <c r="BG59" i="3"/>
  <c r="BN59" i="3"/>
  <c r="BF59" i="3"/>
  <c r="BO51" i="3"/>
  <c r="BK51" i="3"/>
  <c r="BG51" i="3"/>
  <c r="BN51" i="3"/>
  <c r="BJ51" i="3"/>
  <c r="BF51" i="3"/>
  <c r="BQ51" i="3"/>
  <c r="BM51" i="3"/>
  <c r="BI51" i="3"/>
  <c r="BP51" i="3"/>
  <c r="BL51" i="3"/>
  <c r="BH51" i="3"/>
  <c r="BO43" i="3"/>
  <c r="BK43" i="3"/>
  <c r="BG43" i="3"/>
  <c r="BN43" i="3"/>
  <c r="BJ43" i="3"/>
  <c r="BF43" i="3"/>
  <c r="BQ43" i="3"/>
  <c r="BI43" i="3"/>
  <c r="BP43" i="3"/>
  <c r="BH43" i="3"/>
  <c r="BM43" i="3"/>
  <c r="BL43" i="3"/>
  <c r="BQ56" i="3"/>
  <c r="BM56" i="3"/>
  <c r="BI56" i="3"/>
  <c r="BP56" i="3"/>
  <c r="BL56" i="3"/>
  <c r="BH56" i="3"/>
  <c r="BO56" i="3"/>
  <c r="BG56" i="3"/>
  <c r="BN56" i="3"/>
  <c r="BF56" i="3"/>
  <c r="BK56" i="3"/>
  <c r="BJ56" i="3"/>
  <c r="BQ57" i="3"/>
  <c r="BM57" i="3"/>
  <c r="BI57" i="3"/>
  <c r="BP57" i="3"/>
  <c r="BL57" i="3"/>
  <c r="BH57" i="3"/>
  <c r="BK57" i="3"/>
  <c r="BJ57" i="3"/>
  <c r="BO57" i="3"/>
  <c r="BG57" i="3"/>
  <c r="BN57" i="3"/>
  <c r="BF57" i="3"/>
  <c r="BQ52" i="3"/>
  <c r="BO52" i="3"/>
  <c r="BK52" i="3"/>
  <c r="BG52" i="3"/>
  <c r="BN52" i="3"/>
  <c r="BJ52" i="3"/>
  <c r="BF52" i="3"/>
  <c r="BM52" i="3"/>
  <c r="BI52" i="3"/>
  <c r="BP52" i="3"/>
  <c r="BL52" i="3"/>
  <c r="BH52" i="3"/>
  <c r="BQ58" i="3"/>
  <c r="BM58" i="3"/>
  <c r="BI58" i="3"/>
  <c r="BP58" i="3"/>
  <c r="BL58" i="3"/>
  <c r="BH58" i="3"/>
  <c r="BO58" i="3"/>
  <c r="BG58" i="3"/>
  <c r="BN58" i="3"/>
  <c r="BF58" i="3"/>
  <c r="BK58" i="3"/>
  <c r="BJ58" i="3"/>
  <c r="BQ61" i="3"/>
  <c r="BM61" i="3"/>
  <c r="BI61" i="3"/>
  <c r="BP61" i="3"/>
  <c r="BL61" i="3"/>
  <c r="BH61" i="3"/>
  <c r="BO61" i="3"/>
  <c r="BG61" i="3"/>
  <c r="BN61" i="3"/>
  <c r="BF61" i="3"/>
  <c r="BK61" i="3"/>
  <c r="BJ61" i="3"/>
  <c r="BQ62" i="3"/>
  <c r="BM62" i="3"/>
  <c r="BI62" i="3"/>
  <c r="BP62" i="3"/>
  <c r="BL62" i="3"/>
  <c r="BH62" i="3"/>
  <c r="BK62" i="3"/>
  <c r="BJ62" i="3"/>
  <c r="BO62" i="3"/>
  <c r="BG62" i="3"/>
  <c r="BN62" i="3"/>
  <c r="BF62" i="3"/>
  <c r="AS9" i="7"/>
  <c r="AM11" i="3" s="1"/>
  <c r="AS43" i="7"/>
  <c r="AS80" i="7" s="1"/>
  <c r="AF115" i="7"/>
  <c r="AE38" i="8" s="1"/>
  <c r="AT41" i="7"/>
  <c r="AT78" i="7" s="1"/>
  <c r="AG113" i="7"/>
  <c r="AF36" i="8" s="1"/>
  <c r="Y115" i="7"/>
  <c r="X38" i="8" s="1"/>
  <c r="AN43" i="7"/>
  <c r="AN80" i="7" s="1"/>
  <c r="AA115" i="7"/>
  <c r="Z38" i="8" s="1"/>
  <c r="AS41" i="7"/>
  <c r="AS78" i="7" s="1"/>
  <c r="AF113" i="7"/>
  <c r="AE36" i="8" s="1"/>
  <c r="AT42" i="7"/>
  <c r="AT79" i="7" s="1"/>
  <c r="AG114" i="7"/>
  <c r="AF37" i="8" s="1"/>
  <c r="AR41" i="7"/>
  <c r="AR78" i="7" s="1"/>
  <c r="AE113" i="7"/>
  <c r="AD36" i="8" s="1"/>
  <c r="AN41" i="7"/>
  <c r="AN78" i="7" s="1"/>
  <c r="AN42" i="7"/>
  <c r="AN79" i="7" s="1"/>
  <c r="AS42" i="7"/>
  <c r="AS79" i="7" s="1"/>
  <c r="AF114" i="7"/>
  <c r="AE37" i="8" s="1"/>
  <c r="AV41" i="7"/>
  <c r="AV78" i="7" s="1"/>
  <c r="AI113" i="7"/>
  <c r="AH36" i="8" s="1"/>
  <c r="AE114" i="7"/>
  <c r="AD37" i="8" s="1"/>
  <c r="AT43" i="7"/>
  <c r="AT80" i="7" s="1"/>
  <c r="AG115" i="7"/>
  <c r="AF38" i="8" s="1"/>
  <c r="AM43" i="7"/>
  <c r="AM80" i="7" s="1"/>
  <c r="AQ43" i="7"/>
  <c r="AQ80" i="7" s="1"/>
  <c r="AD115" i="7"/>
  <c r="AC38" i="8" s="1"/>
  <c r="P108" i="7"/>
  <c r="O31" i="8" s="1"/>
  <c r="AC36" i="7"/>
  <c r="AC73" i="7" s="1"/>
  <c r="P110" i="7"/>
  <c r="O33" i="8" s="1"/>
  <c r="AC38" i="7"/>
  <c r="AC75" i="7" s="1"/>
  <c r="P104" i="7"/>
  <c r="O27" i="8" s="1"/>
  <c r="AC32" i="7"/>
  <c r="AC69" i="7" s="1"/>
  <c r="V111" i="7"/>
  <c r="U34" i="8" s="1"/>
  <c r="AI39" i="7"/>
  <c r="AI76" i="7" s="1"/>
  <c r="O110" i="7"/>
  <c r="N33" i="8" s="1"/>
  <c r="AB38" i="7"/>
  <c r="AB75" i="7" s="1"/>
  <c r="O108" i="7"/>
  <c r="N31" i="8" s="1"/>
  <c r="AB36" i="7"/>
  <c r="AB73" i="7" s="1"/>
  <c r="O106" i="7"/>
  <c r="N29" i="8" s="1"/>
  <c r="AB34" i="7"/>
  <c r="AB71" i="7" s="1"/>
  <c r="R103" i="7"/>
  <c r="Q26" i="8" s="1"/>
  <c r="AE31" i="7"/>
  <c r="AE68" i="7" s="1"/>
  <c r="T112" i="7"/>
  <c r="S35" i="8" s="1"/>
  <c r="AG40" i="7"/>
  <c r="AG77" i="7" s="1"/>
  <c r="T111" i="7"/>
  <c r="S34" i="8" s="1"/>
  <c r="AG39" i="7"/>
  <c r="AG76" i="7" s="1"/>
  <c r="T104" i="7"/>
  <c r="S27" i="8" s="1"/>
  <c r="AG32" i="7"/>
  <c r="AG69" i="7" s="1"/>
  <c r="Z35" i="7"/>
  <c r="Z72" i="7" s="1"/>
  <c r="Q103" i="7"/>
  <c r="P26" i="8" s="1"/>
  <c r="AD31" i="7"/>
  <c r="AD68" i="7" s="1"/>
  <c r="Q106" i="7"/>
  <c r="P29" i="8" s="1"/>
  <c r="AD34" i="7"/>
  <c r="AD71" i="7" s="1"/>
  <c r="AR27" i="7"/>
  <c r="AR64" i="7" s="1"/>
  <c r="AN27" i="7"/>
  <c r="AN64" i="7" s="1"/>
  <c r="S112" i="7"/>
  <c r="R35" i="8" s="1"/>
  <c r="AF40" i="7"/>
  <c r="AF77" i="7" s="1"/>
  <c r="S104" i="7"/>
  <c r="R27" i="8" s="1"/>
  <c r="AF32" i="7"/>
  <c r="AF69" i="7" s="1"/>
  <c r="O105" i="7"/>
  <c r="N28" i="8" s="1"/>
  <c r="T110" i="7"/>
  <c r="S33" i="8" s="1"/>
  <c r="AG38" i="7"/>
  <c r="AG75" i="7" s="1"/>
  <c r="AR25" i="7"/>
  <c r="AR62" i="7" s="1"/>
  <c r="S110" i="7"/>
  <c r="R33" i="8" s="1"/>
  <c r="AF38" i="7"/>
  <c r="AF75" i="7" s="1"/>
  <c r="S108" i="7"/>
  <c r="R31" i="8" s="1"/>
  <c r="AF36" i="7"/>
  <c r="AF73" i="7" s="1"/>
  <c r="V107" i="7"/>
  <c r="U30" i="8" s="1"/>
  <c r="AI35" i="7"/>
  <c r="AI72" i="7" s="1"/>
  <c r="V110" i="7"/>
  <c r="U33" i="8" s="1"/>
  <c r="AI38" i="7"/>
  <c r="AI75" i="7" s="1"/>
  <c r="AE32" i="7"/>
  <c r="AE69" i="7" s="1"/>
  <c r="T103" i="7"/>
  <c r="S26" i="8" s="1"/>
  <c r="AG31" i="7"/>
  <c r="AG68" i="7" s="1"/>
  <c r="T109" i="7"/>
  <c r="AG37" i="7"/>
  <c r="AG74" i="7" s="1"/>
  <c r="T106" i="7"/>
  <c r="S29" i="8" s="1"/>
  <c r="AG34" i="7"/>
  <c r="AG71" i="7" s="1"/>
  <c r="M105" i="7"/>
  <c r="L28" i="8" s="1"/>
  <c r="Q110" i="7"/>
  <c r="P33" i="8" s="1"/>
  <c r="AD38" i="7"/>
  <c r="AD75" i="7" s="1"/>
  <c r="L110" i="7"/>
  <c r="K33" i="8" s="1"/>
  <c r="Y38" i="7"/>
  <c r="Y75" i="7" s="1"/>
  <c r="AL43" i="7"/>
  <c r="AL80" i="7" s="1"/>
  <c r="AA37" i="7"/>
  <c r="AA74" i="7" s="1"/>
  <c r="P103" i="7"/>
  <c r="O26" i="8" s="1"/>
  <c r="V106" i="7"/>
  <c r="U29" i="8" s="1"/>
  <c r="AI34" i="7"/>
  <c r="AI71" i="7" s="1"/>
  <c r="T107" i="7"/>
  <c r="S30" i="8" s="1"/>
  <c r="AG35" i="7"/>
  <c r="AG72" i="7" s="1"/>
  <c r="L105" i="7"/>
  <c r="K28" i="8" s="1"/>
  <c r="Y33" i="7"/>
  <c r="Y70" i="7" s="1"/>
  <c r="AN26" i="7"/>
  <c r="AN63" i="7" s="1"/>
  <c r="AC37" i="7"/>
  <c r="AC74" i="7" s="1"/>
  <c r="S107" i="7"/>
  <c r="R30" i="8" s="1"/>
  <c r="AF35" i="7"/>
  <c r="AF72" i="7" s="1"/>
  <c r="S109" i="7"/>
  <c r="AF37" i="7"/>
  <c r="AF74" i="7" s="1"/>
  <c r="S106" i="7"/>
  <c r="R29" i="8" s="1"/>
  <c r="AF34" i="7"/>
  <c r="AF71" i="7" s="1"/>
  <c r="V103" i="7"/>
  <c r="U26" i="8" s="1"/>
  <c r="O107" i="7"/>
  <c r="N30" i="8" s="1"/>
  <c r="AB35" i="7"/>
  <c r="AB72" i="7" s="1"/>
  <c r="T108" i="7"/>
  <c r="S31" i="8" s="1"/>
  <c r="AG36" i="7"/>
  <c r="AG73" i="7" s="1"/>
  <c r="T105" i="7"/>
  <c r="S28" i="8" s="1"/>
  <c r="AG33" i="7"/>
  <c r="AG70" i="7" s="1"/>
  <c r="L109" i="7"/>
  <c r="Y37" i="7"/>
  <c r="Y74" i="7" s="1"/>
  <c r="U109" i="7"/>
  <c r="AH37" i="7"/>
  <c r="AH74" i="7" s="1"/>
  <c r="AU25" i="7"/>
  <c r="AU62" i="7" s="1"/>
  <c r="R96" i="7"/>
  <c r="Q19" i="8" s="1"/>
  <c r="AE24" i="7"/>
  <c r="R88" i="7"/>
  <c r="AE16" i="7"/>
  <c r="P88" i="7"/>
  <c r="AC16" i="7"/>
  <c r="N94" i="7"/>
  <c r="M17" i="8" s="1"/>
  <c r="AA22" i="7"/>
  <c r="Q94" i="7"/>
  <c r="P17" i="8" s="1"/>
  <c r="AD22" i="7"/>
  <c r="W87" i="7"/>
  <c r="AJ15" i="7"/>
  <c r="M88" i="7"/>
  <c r="Z16" i="7"/>
  <c r="V94" i="7"/>
  <c r="U17" i="8" s="1"/>
  <c r="AI22" i="7"/>
  <c r="Y9" i="7"/>
  <c r="X9" i="7"/>
  <c r="R91" i="7"/>
  <c r="Q14" i="8" s="1"/>
  <c r="AE19" i="7"/>
  <c r="P90" i="7"/>
  <c r="AC18" i="7"/>
  <c r="N93" i="7"/>
  <c r="AA21" i="7"/>
  <c r="Q91" i="7"/>
  <c r="P14" i="8" s="1"/>
  <c r="AD19" i="7"/>
  <c r="S90" i="7"/>
  <c r="AF18" i="7"/>
  <c r="P94" i="7"/>
  <c r="O17" i="8" s="1"/>
  <c r="AC22" i="7"/>
  <c r="N88" i="7"/>
  <c r="S93" i="7"/>
  <c r="AF21" i="7"/>
  <c r="L96" i="7"/>
  <c r="K19" i="8" s="1"/>
  <c r="Y24" i="7"/>
  <c r="Y61" i="7" s="1"/>
  <c r="O96" i="7"/>
  <c r="N19" i="8" s="1"/>
  <c r="AB24" i="7"/>
  <c r="T92" i="7"/>
  <c r="S15" i="8" s="1"/>
  <c r="AG20" i="7"/>
  <c r="P93" i="7"/>
  <c r="AC21" i="7"/>
  <c r="N95" i="7"/>
  <c r="M18" i="8" s="1"/>
  <c r="AA23" i="7"/>
  <c r="AA15" i="7"/>
  <c r="W88" i="7"/>
  <c r="AJ16" i="7"/>
  <c r="S89" i="7"/>
  <c r="AF17" i="7"/>
  <c r="O16" i="7"/>
  <c r="M22" i="7"/>
  <c r="M18" i="7"/>
  <c r="Q39" i="7"/>
  <c r="Q35" i="7"/>
  <c r="Q41" i="7"/>
  <c r="Q113" i="7" s="1"/>
  <c r="P36" i="8" s="1"/>
  <c r="L39" i="7"/>
  <c r="L31" i="7"/>
  <c r="L34" i="7"/>
  <c r="L41" i="7"/>
  <c r="L113" i="7" s="1"/>
  <c r="K36" i="8" s="1"/>
  <c r="U32" i="7"/>
  <c r="U38" i="7"/>
  <c r="U33" i="7"/>
  <c r="M24" i="7"/>
  <c r="M20" i="7"/>
  <c r="Q33" i="7"/>
  <c r="Q37" i="7"/>
  <c r="L36" i="7"/>
  <c r="L42" i="7"/>
  <c r="U31" i="7"/>
  <c r="U40" i="7"/>
  <c r="Q15" i="7"/>
  <c r="Q21" i="7"/>
  <c r="Q17" i="7"/>
  <c r="S24" i="7"/>
  <c r="S20" i="7"/>
  <c r="S16" i="7"/>
  <c r="Q24" i="7"/>
  <c r="Q20" i="7"/>
  <c r="Q16" i="7"/>
  <c r="S23" i="7"/>
  <c r="S19" i="7"/>
  <c r="S15" i="7"/>
  <c r="Q23" i="7"/>
  <c r="S22" i="7"/>
  <c r="L25" i="7"/>
  <c r="Y25" i="7" s="1"/>
  <c r="Y62" i="7" s="1"/>
  <c r="L26" i="7"/>
  <c r="Y26" i="7" s="1"/>
  <c r="Y63" i="7" s="1"/>
  <c r="L27" i="7"/>
  <c r="Y27" i="7" s="1"/>
  <c r="Y64" i="7" s="1"/>
  <c r="O25" i="7"/>
  <c r="AB25" i="7" s="1"/>
  <c r="O26" i="7"/>
  <c r="AB26" i="7" s="1"/>
  <c r="O27" i="7"/>
  <c r="AB27" i="7" s="1"/>
  <c r="Q80" i="7"/>
  <c r="Q115" i="7"/>
  <c r="P38" i="8" s="1"/>
  <c r="R64" i="7"/>
  <c r="R99" i="7"/>
  <c r="Q22" i="8" s="1"/>
  <c r="L80" i="7"/>
  <c r="L115" i="7"/>
  <c r="K38" i="8" s="1"/>
  <c r="V26" i="7"/>
  <c r="AI26" i="7" s="1"/>
  <c r="V27" i="7"/>
  <c r="AI27" i="7" s="1"/>
  <c r="V25" i="7"/>
  <c r="AI25" i="7" s="1"/>
  <c r="U62" i="7"/>
  <c r="U97" i="7"/>
  <c r="T20" i="8" s="1"/>
  <c r="V21" i="7"/>
  <c r="V17" i="7"/>
  <c r="O23" i="7"/>
  <c r="O19" i="7"/>
  <c r="O15" i="7"/>
  <c r="L15" i="7"/>
  <c r="L87" i="7" s="1"/>
  <c r="L23" i="7"/>
  <c r="S78" i="7"/>
  <c r="S113" i="7"/>
  <c r="R36" i="8" s="1"/>
  <c r="W25" i="7"/>
  <c r="AJ25" i="7" s="1"/>
  <c r="W26" i="7"/>
  <c r="AJ26" i="7" s="1"/>
  <c r="W27" i="7"/>
  <c r="AJ27" i="7" s="1"/>
  <c r="T25" i="7"/>
  <c r="AG25" i="7" s="1"/>
  <c r="T26" i="7"/>
  <c r="AG26" i="7" s="1"/>
  <c r="T27" i="7"/>
  <c r="AG27" i="7" s="1"/>
  <c r="T79" i="7"/>
  <c r="T114" i="7"/>
  <c r="S37" i="8" s="1"/>
  <c r="R62" i="7"/>
  <c r="R97" i="7"/>
  <c r="Q20" i="8" s="1"/>
  <c r="N78" i="7"/>
  <c r="N113" i="7"/>
  <c r="M36" i="8" s="1"/>
  <c r="N114" i="7"/>
  <c r="M37" i="8" s="1"/>
  <c r="N64" i="7"/>
  <c r="N99" i="7"/>
  <c r="M22" i="8" s="1"/>
  <c r="L22" i="7"/>
  <c r="L20" i="7"/>
  <c r="L19" i="7"/>
  <c r="M25" i="7"/>
  <c r="Z25" i="7" s="1"/>
  <c r="M27" i="7"/>
  <c r="Z27" i="7" s="1"/>
  <c r="M26" i="7"/>
  <c r="Z26" i="7" s="1"/>
  <c r="O113" i="7"/>
  <c r="N36" i="8" s="1"/>
  <c r="R78" i="7"/>
  <c r="R113" i="7"/>
  <c r="Q36" i="8" s="1"/>
  <c r="P99" i="7"/>
  <c r="O22" i="8" s="1"/>
  <c r="N63" i="7"/>
  <c r="N98" i="7"/>
  <c r="M21" i="8" s="1"/>
  <c r="S115" i="7"/>
  <c r="R38" i="8" s="1"/>
  <c r="S80" i="7"/>
  <c r="T78" i="7"/>
  <c r="T113" i="7"/>
  <c r="S36" i="8" s="1"/>
  <c r="O22" i="7"/>
  <c r="O18" i="7"/>
  <c r="V23" i="7"/>
  <c r="V19" i="7"/>
  <c r="V15" i="7"/>
  <c r="O21" i="7"/>
  <c r="O17" i="7"/>
  <c r="L21" i="7"/>
  <c r="L17" i="7"/>
  <c r="L16" i="7"/>
  <c r="S79" i="7"/>
  <c r="S114" i="7"/>
  <c r="R37" i="8" s="1"/>
  <c r="V78" i="7"/>
  <c r="V113" i="7"/>
  <c r="U36" i="8" s="1"/>
  <c r="Q26" i="7"/>
  <c r="AD26" i="7" s="1"/>
  <c r="Q25" i="7"/>
  <c r="AD25" i="7" s="1"/>
  <c r="Q27" i="7"/>
  <c r="AD27" i="7" s="1"/>
  <c r="S25" i="7"/>
  <c r="AF25" i="7" s="1"/>
  <c r="S26" i="7"/>
  <c r="AF26" i="7" s="1"/>
  <c r="S27" i="7"/>
  <c r="AF27" i="7" s="1"/>
  <c r="T80" i="7"/>
  <c r="T115" i="7"/>
  <c r="S38" i="8" s="1"/>
  <c r="N80" i="7"/>
  <c r="N115" i="7"/>
  <c r="M38" i="8" s="1"/>
  <c r="X10" i="7"/>
  <c r="N36" i="11" l="1"/>
  <c r="N96" i="7"/>
  <c r="M19" i="8" s="1"/>
  <c r="AJ31" i="7"/>
  <c r="AJ68" i="7" s="1"/>
  <c r="AI37" i="7"/>
  <c r="AI74" i="7" s="1"/>
  <c r="Q79" i="7"/>
  <c r="AV43" i="7"/>
  <c r="AV80" i="7" s="1"/>
  <c r="N62" i="7"/>
  <c r="AA20" i="7"/>
  <c r="P95" i="7"/>
  <c r="O18" i="8" s="1"/>
  <c r="R115" i="7"/>
  <c r="Q38" i="8" s="1"/>
  <c r="BI10" i="7"/>
  <c r="BC12" i="3" s="1"/>
  <c r="Z114" i="7"/>
  <c r="Y37" i="8" s="1"/>
  <c r="AQ42" i="7"/>
  <c r="AQ79" i="7" s="1"/>
  <c r="M114" i="7"/>
  <c r="L37" i="8" s="1"/>
  <c r="AI20" i="7"/>
  <c r="AI92" i="7" s="1"/>
  <c r="AH15" i="8" s="1"/>
  <c r="AA18" i="7"/>
  <c r="AA55" i="7" s="1"/>
  <c r="AO41" i="7"/>
  <c r="AO78" i="7" s="1"/>
  <c r="N97" i="7"/>
  <c r="M20" i="8" s="1"/>
  <c r="M79" i="7"/>
  <c r="AA19" i="7"/>
  <c r="AA56" i="7" s="1"/>
  <c r="AE22" i="7"/>
  <c r="AE59" i="7" s="1"/>
  <c r="AD36" i="7"/>
  <c r="AD73" i="7" s="1"/>
  <c r="AN25" i="7"/>
  <c r="AN62" i="7" s="1"/>
  <c r="AD40" i="7"/>
  <c r="AD77" i="7" s="1"/>
  <c r="AM42" i="7"/>
  <c r="AM79" i="7" s="1"/>
  <c r="AC33" i="7"/>
  <c r="AC70" i="7" s="1"/>
  <c r="AR43" i="7"/>
  <c r="AR80" i="7" s="1"/>
  <c r="R80" i="7"/>
  <c r="O78" i="7"/>
  <c r="AD114" i="7"/>
  <c r="AC37" i="8" s="1"/>
  <c r="Q114" i="7"/>
  <c r="P37" i="8" s="1"/>
  <c r="AE115" i="7"/>
  <c r="AD38" i="8" s="1"/>
  <c r="AB113" i="7"/>
  <c r="AA36" i="8" s="1"/>
  <c r="Q90" i="7"/>
  <c r="Q124" i="7" s="1"/>
  <c r="V115" i="7"/>
  <c r="U38" i="8" s="1"/>
  <c r="AA17" i="7"/>
  <c r="AA54" i="7" s="1"/>
  <c r="AI33" i="7"/>
  <c r="AI70" i="7" s="1"/>
  <c r="V80" i="7"/>
  <c r="P91" i="7"/>
  <c r="O14" i="8" s="1"/>
  <c r="AA40" i="7"/>
  <c r="AA77" i="7" s="1"/>
  <c r="AI115" i="7"/>
  <c r="AH38" i="8" s="1"/>
  <c r="AB115" i="7"/>
  <c r="AA38" i="8" s="1"/>
  <c r="Z99" i="7"/>
  <c r="Y22" i="8" s="1"/>
  <c r="Z64" i="7"/>
  <c r="AG99" i="7"/>
  <c r="AF22" i="8" s="1"/>
  <c r="AG64" i="7"/>
  <c r="AF99" i="7"/>
  <c r="AE22" i="8" s="1"/>
  <c r="AF64" i="7"/>
  <c r="AF98" i="7"/>
  <c r="AE21" i="8" s="1"/>
  <c r="AF63" i="7"/>
  <c r="AD98" i="7"/>
  <c r="AC21" i="8" s="1"/>
  <c r="AD63" i="7"/>
  <c r="Z98" i="7"/>
  <c r="Y21" i="8" s="1"/>
  <c r="Z63" i="7"/>
  <c r="AJ99" i="7"/>
  <c r="AI22" i="8" s="1"/>
  <c r="AJ64" i="7"/>
  <c r="AI98" i="7"/>
  <c r="AH21" i="8" s="1"/>
  <c r="AI63" i="7"/>
  <c r="AB98" i="7"/>
  <c r="AA21" i="8" s="1"/>
  <c r="AB63" i="7"/>
  <c r="AF89" i="7"/>
  <c r="AE12" i="8" s="1"/>
  <c r="AF54" i="7"/>
  <c r="AA87" i="7"/>
  <c r="Z10" i="8" s="1"/>
  <c r="AA52" i="7"/>
  <c r="AA95" i="7"/>
  <c r="Z18" i="8" s="1"/>
  <c r="AA60" i="7"/>
  <c r="AG92" i="7"/>
  <c r="AF15" i="8" s="1"/>
  <c r="AG57" i="7"/>
  <c r="AA88" i="7"/>
  <c r="Z11" i="8" s="1"/>
  <c r="AA53" i="7"/>
  <c r="AA96" i="7"/>
  <c r="Z19" i="8" s="1"/>
  <c r="AA61" i="7"/>
  <c r="AE94" i="7"/>
  <c r="AD17" i="8" s="1"/>
  <c r="AD91" i="7"/>
  <c r="AC14" i="8" s="1"/>
  <c r="AD56" i="7"/>
  <c r="AI57" i="7"/>
  <c r="AJ87" i="7"/>
  <c r="AI10" i="8" s="1"/>
  <c r="AJ52" i="7"/>
  <c r="AA90" i="7"/>
  <c r="Z13" i="8" s="1"/>
  <c r="Z87" i="7"/>
  <c r="Y10" i="8" s="1"/>
  <c r="Z52" i="7"/>
  <c r="AJ93" i="7"/>
  <c r="AJ58" i="7"/>
  <c r="AG91" i="7"/>
  <c r="AF14" i="8" s="1"/>
  <c r="AG56" i="7"/>
  <c r="AJ90" i="7"/>
  <c r="AI13" i="8" s="1"/>
  <c r="AJ55" i="7"/>
  <c r="AC99" i="7"/>
  <c r="AB22" i="8" s="1"/>
  <c r="AC64" i="7"/>
  <c r="AH95" i="7"/>
  <c r="AG18" i="8" s="1"/>
  <c r="AH60" i="7"/>
  <c r="AR42" i="7"/>
  <c r="AR79" i="7" s="1"/>
  <c r="AE79" i="7"/>
  <c r="AA113" i="7"/>
  <c r="Z36" i="8" s="1"/>
  <c r="AA78" i="7"/>
  <c r="Z115" i="7"/>
  <c r="Y38" i="8" s="1"/>
  <c r="Z80" i="7"/>
  <c r="AH87" i="7"/>
  <c r="AG10" i="8" s="1"/>
  <c r="AH52" i="7"/>
  <c r="AA114" i="7"/>
  <c r="Z37" i="8" s="1"/>
  <c r="AA79" i="7"/>
  <c r="AB97" i="7"/>
  <c r="AA20" i="8" s="1"/>
  <c r="AB62" i="7"/>
  <c r="AA93" i="7"/>
  <c r="AA58" i="7"/>
  <c r="AC88" i="7"/>
  <c r="AB11" i="8" s="1"/>
  <c r="AC53" i="7"/>
  <c r="AE96" i="7"/>
  <c r="AD19" i="8" s="1"/>
  <c r="AE61" i="7"/>
  <c r="AJ92" i="7"/>
  <c r="AI15" i="8" s="1"/>
  <c r="AJ57" i="7"/>
  <c r="AH92" i="7"/>
  <c r="AG15" i="8" s="1"/>
  <c r="AH57" i="7"/>
  <c r="AD90" i="7"/>
  <c r="AC13" i="8" s="1"/>
  <c r="AD55" i="7"/>
  <c r="AC91" i="7"/>
  <c r="AB14" i="8" s="1"/>
  <c r="AC56" i="7"/>
  <c r="AO42" i="7"/>
  <c r="AO79" i="7" s="1"/>
  <c r="AB79" i="7"/>
  <c r="AH98" i="7"/>
  <c r="AG21" i="8" s="1"/>
  <c r="AH63" i="7"/>
  <c r="AI114" i="7"/>
  <c r="AH37" i="8" s="1"/>
  <c r="AI79" i="7"/>
  <c r="AC95" i="7"/>
  <c r="AB18" i="8" s="1"/>
  <c r="AC60" i="7"/>
  <c r="AD99" i="7"/>
  <c r="AC22" i="8" s="1"/>
  <c r="AD64" i="7"/>
  <c r="Z97" i="7"/>
  <c r="Y20" i="8" s="1"/>
  <c r="Z62" i="7"/>
  <c r="AG98" i="7"/>
  <c r="AF21" i="8" s="1"/>
  <c r="AG63" i="7"/>
  <c r="AJ97" i="7"/>
  <c r="AI20" i="8" s="1"/>
  <c r="AJ62" i="7"/>
  <c r="AI97" i="7"/>
  <c r="AH20" i="8" s="1"/>
  <c r="AI62" i="7"/>
  <c r="AJ88" i="7"/>
  <c r="AI11" i="8" s="1"/>
  <c r="AJ53" i="7"/>
  <c r="AA91" i="7"/>
  <c r="Z14" i="8" s="1"/>
  <c r="AC93" i="7"/>
  <c r="AC58" i="7"/>
  <c r="AB96" i="7"/>
  <c r="AA19" i="8" s="1"/>
  <c r="AB61" i="7"/>
  <c r="AF93" i="7"/>
  <c r="AF58" i="7"/>
  <c r="AA92" i="7"/>
  <c r="Z15" i="8" s="1"/>
  <c r="AA57" i="7"/>
  <c r="AC94" i="7"/>
  <c r="AB17" i="8" s="1"/>
  <c r="AC59" i="7"/>
  <c r="AF90" i="7"/>
  <c r="AE13" i="8" s="1"/>
  <c r="AF55" i="7"/>
  <c r="AE91" i="7"/>
  <c r="AD14" i="8" s="1"/>
  <c r="AE56" i="7"/>
  <c r="AI94" i="7"/>
  <c r="AH17" i="8" s="1"/>
  <c r="AI59" i="7"/>
  <c r="Z88" i="7"/>
  <c r="Y11" i="8" s="1"/>
  <c r="Z53" i="7"/>
  <c r="AD94" i="7"/>
  <c r="AC17" i="8" s="1"/>
  <c r="AD59" i="7"/>
  <c r="AA94" i="7"/>
  <c r="Z17" i="8" s="1"/>
  <c r="AA59" i="7"/>
  <c r="AW41" i="7"/>
  <c r="AW78" i="7" s="1"/>
  <c r="AJ78" i="7"/>
  <c r="AC113" i="7"/>
  <c r="AB36" i="8" s="1"/>
  <c r="AC78" i="7"/>
  <c r="AC115" i="7"/>
  <c r="AB38" i="8" s="1"/>
  <c r="AC80" i="7"/>
  <c r="AC97" i="7"/>
  <c r="AB20" i="8" s="1"/>
  <c r="AC62" i="7"/>
  <c r="AE95" i="7"/>
  <c r="AD18" i="8" s="1"/>
  <c r="AE60" i="7"/>
  <c r="AE87" i="7"/>
  <c r="AD10" i="8" s="1"/>
  <c r="AE52" i="7"/>
  <c r="AU42" i="7"/>
  <c r="AU79" i="7" s="1"/>
  <c r="AH79" i="7"/>
  <c r="AH91" i="7"/>
  <c r="AG14" i="8" s="1"/>
  <c r="AH56" i="7"/>
  <c r="AF97" i="7"/>
  <c r="AE20" i="8" s="1"/>
  <c r="AF62" i="7"/>
  <c r="AJ98" i="7"/>
  <c r="AI21" i="8" s="1"/>
  <c r="AJ63" i="7"/>
  <c r="AD97" i="7"/>
  <c r="AC20" i="8" s="1"/>
  <c r="AD62" i="7"/>
  <c r="AG97" i="7"/>
  <c r="AF20" i="8" s="1"/>
  <c r="AG62" i="7"/>
  <c r="AI99" i="7"/>
  <c r="AH22" i="8" s="1"/>
  <c r="AI64" i="7"/>
  <c r="AB99" i="7"/>
  <c r="AA22" i="8" s="1"/>
  <c r="AB64" i="7"/>
  <c r="AA89" i="7"/>
  <c r="Z12" i="8" s="1"/>
  <c r="AC90" i="7"/>
  <c r="AB13" i="8" s="1"/>
  <c r="AC55" i="7"/>
  <c r="AE88" i="7"/>
  <c r="AD11" i="8" s="1"/>
  <c r="AE53" i="7"/>
  <c r="AP42" i="7"/>
  <c r="AP79" i="7" s="1"/>
  <c r="AC79" i="7"/>
  <c r="AC89" i="7"/>
  <c r="AB12" i="8" s="1"/>
  <c r="AC54" i="7"/>
  <c r="AC98" i="7"/>
  <c r="AB21" i="8" s="1"/>
  <c r="AC63" i="7"/>
  <c r="AH99" i="7"/>
  <c r="AG22" i="8" s="1"/>
  <c r="AH64" i="7"/>
  <c r="AE98" i="7"/>
  <c r="AD21" i="8" s="1"/>
  <c r="AE63" i="7"/>
  <c r="AM41" i="7"/>
  <c r="AM78" i="7" s="1"/>
  <c r="Z78" i="7"/>
  <c r="AU41" i="7"/>
  <c r="AU78" i="7" s="1"/>
  <c r="AH78" i="7"/>
  <c r="AH89" i="7"/>
  <c r="AG12" i="8" s="1"/>
  <c r="AH54" i="7"/>
  <c r="Q104" i="7"/>
  <c r="P27" i="8" s="1"/>
  <c r="R105" i="7"/>
  <c r="Q28" i="8" s="1"/>
  <c r="R98" i="7"/>
  <c r="Q21" i="8" s="1"/>
  <c r="Y40" i="7"/>
  <c r="Y77" i="7" s="1"/>
  <c r="S111" i="7"/>
  <c r="R34" i="8" s="1"/>
  <c r="AJ115" i="7"/>
  <c r="AI38" i="8" s="1"/>
  <c r="V108" i="7"/>
  <c r="U31" i="8" s="1"/>
  <c r="AH21" i="7"/>
  <c r="AU21" i="7" s="1"/>
  <c r="AU58" i="7" s="1"/>
  <c r="AH18" i="7"/>
  <c r="AU18" i="7" s="1"/>
  <c r="AU55" i="7" s="1"/>
  <c r="AE20" i="7"/>
  <c r="Y32" i="7"/>
  <c r="Y69" i="7" s="1"/>
  <c r="AA32" i="7"/>
  <c r="AA69" i="7" s="1"/>
  <c r="AA34" i="7"/>
  <c r="AA71" i="7" s="1"/>
  <c r="O109" i="7"/>
  <c r="M112" i="7"/>
  <c r="L35" i="8" s="1"/>
  <c r="Z37" i="7"/>
  <c r="Z74" i="7" s="1"/>
  <c r="M78" i="7"/>
  <c r="AA31" i="7"/>
  <c r="AA36" i="7"/>
  <c r="AA73" i="7" s="1"/>
  <c r="AQ9" i="7"/>
  <c r="AK11" i="3" s="1"/>
  <c r="K23" i="3"/>
  <c r="J13" i="2" s="1"/>
  <c r="I23" i="3"/>
  <c r="H13" i="2" s="1"/>
  <c r="J23" i="3"/>
  <c r="I13" i="2" s="1"/>
  <c r="H23" i="3"/>
  <c r="G13" i="2" s="1"/>
  <c r="G23" i="3"/>
  <c r="AI32" i="7"/>
  <c r="AI69" i="7" s="1"/>
  <c r="AI40" i="7"/>
  <c r="AI77" i="7" s="1"/>
  <c r="AF31" i="7"/>
  <c r="AF68" i="7" s="1"/>
  <c r="AF33" i="7"/>
  <c r="W92" i="7"/>
  <c r="V15" i="8" s="1"/>
  <c r="W90" i="7"/>
  <c r="W124" i="7" s="1"/>
  <c r="AJ33" i="7"/>
  <c r="AJ37" i="7"/>
  <c r="AJ23" i="7"/>
  <c r="AJ114" i="7"/>
  <c r="AI37" i="8" s="1"/>
  <c r="AH115" i="7"/>
  <c r="AG38" i="8" s="1"/>
  <c r="U95" i="7"/>
  <c r="T18" i="8" s="1"/>
  <c r="AU43" i="7"/>
  <c r="AU80" i="7" s="1"/>
  <c r="U80" i="7"/>
  <c r="U87" i="7"/>
  <c r="T10" i="8" s="1"/>
  <c r="V11" i="8"/>
  <c r="W122" i="7"/>
  <c r="R13" i="8"/>
  <c r="S124" i="7"/>
  <c r="S11" i="3"/>
  <c r="S22" i="3" s="1"/>
  <c r="V10" i="8"/>
  <c r="W121" i="7"/>
  <c r="V44" i="8" s="1"/>
  <c r="AN9" i="7"/>
  <c r="AH11" i="3" s="1"/>
  <c r="U11" i="3"/>
  <c r="U12" i="2" s="1"/>
  <c r="AP9" i="7"/>
  <c r="AJ11" i="3" s="1"/>
  <c r="W11" i="3"/>
  <c r="W22" i="3" s="1"/>
  <c r="AT9" i="7"/>
  <c r="AN11" i="3" s="1"/>
  <c r="AA11" i="3"/>
  <c r="AA22" i="3" s="1"/>
  <c r="L12" i="8"/>
  <c r="M123" i="7"/>
  <c r="Q12" i="8"/>
  <c r="R123" i="7"/>
  <c r="V12" i="8"/>
  <c r="W123" i="7"/>
  <c r="T13" i="8"/>
  <c r="U124" i="7"/>
  <c r="M13" i="8"/>
  <c r="N124" i="7"/>
  <c r="Q11" i="8"/>
  <c r="R122" i="7"/>
  <c r="X12" i="3"/>
  <c r="AW10" i="7"/>
  <c r="AQ12" i="3" s="1"/>
  <c r="AQ23" i="3" s="1"/>
  <c r="AP13" i="2" s="1"/>
  <c r="AD12" i="3"/>
  <c r="AD23" i="3" s="1"/>
  <c r="AC13" i="2" s="1"/>
  <c r="Z12" i="3"/>
  <c r="Z23" i="3" s="1"/>
  <c r="Y13" i="2" s="1"/>
  <c r="S12" i="3"/>
  <c r="AW9" i="7"/>
  <c r="AQ11" i="3" s="1"/>
  <c r="AD11" i="3"/>
  <c r="AD12" i="2" s="1"/>
  <c r="AO10" i="7"/>
  <c r="AI12" i="3" s="1"/>
  <c r="V12" i="3"/>
  <c r="T11" i="8"/>
  <c r="U122" i="7"/>
  <c r="O10" i="8"/>
  <c r="P121" i="7"/>
  <c r="O44" i="8" s="1"/>
  <c r="R12" i="8"/>
  <c r="S123" i="7"/>
  <c r="AA121" i="7"/>
  <c r="AA128" i="7" s="1"/>
  <c r="M12" i="8"/>
  <c r="N123" i="7"/>
  <c r="O13" i="8"/>
  <c r="P124" i="7"/>
  <c r="L11" i="8"/>
  <c r="M122" i="7"/>
  <c r="O11" i="8"/>
  <c r="P122" i="7"/>
  <c r="AO9" i="7"/>
  <c r="AI11" i="3" s="1"/>
  <c r="V11" i="3"/>
  <c r="V12" i="2" s="1"/>
  <c r="AR9" i="7"/>
  <c r="AL11" i="3" s="1"/>
  <c r="Y11" i="3"/>
  <c r="Y12" i="2" s="1"/>
  <c r="AU9" i="7"/>
  <c r="AO11" i="3" s="1"/>
  <c r="AB11" i="3"/>
  <c r="AB22" i="3" s="1"/>
  <c r="S12" i="8"/>
  <c r="T123" i="7"/>
  <c r="K13" i="8"/>
  <c r="L124" i="7"/>
  <c r="K47" i="8" s="1"/>
  <c r="U11" i="8"/>
  <c r="V122" i="7"/>
  <c r="Q13" i="8"/>
  <c r="R124" i="7"/>
  <c r="K10" i="8"/>
  <c r="L121" i="7"/>
  <c r="K44" i="8" s="1"/>
  <c r="M10" i="8"/>
  <c r="N121" i="7"/>
  <c r="M44" i="8" s="1"/>
  <c r="M11" i="8"/>
  <c r="N122" i="7"/>
  <c r="AP10" i="7"/>
  <c r="AJ12" i="3" s="1"/>
  <c r="W12" i="3"/>
  <c r="AR10" i="7"/>
  <c r="AL12" i="3" s="1"/>
  <c r="AL23" i="3" s="1"/>
  <c r="AK13" i="2" s="1"/>
  <c r="Y12" i="3"/>
  <c r="Y23" i="3" s="1"/>
  <c r="X13" i="2" s="1"/>
  <c r="AU10" i="7"/>
  <c r="AO12" i="3" s="1"/>
  <c r="AO23" i="3" s="1"/>
  <c r="AN13" i="2" s="1"/>
  <c r="AB12" i="3"/>
  <c r="AB23" i="3" s="1"/>
  <c r="AA13" i="2" s="1"/>
  <c r="AN10" i="7"/>
  <c r="AH12" i="3" s="1"/>
  <c r="U12" i="3"/>
  <c r="AV9" i="7"/>
  <c r="AP11" i="3" s="1"/>
  <c r="AC11" i="3"/>
  <c r="AC22" i="3" s="1"/>
  <c r="AT10" i="7"/>
  <c r="AN12" i="3" s="1"/>
  <c r="AN23" i="3" s="1"/>
  <c r="AM13" i="2" s="1"/>
  <c r="AA12" i="3"/>
  <c r="AA23" i="3" s="1"/>
  <c r="Z13" i="2" s="1"/>
  <c r="S13" i="8"/>
  <c r="T124" i="7"/>
  <c r="U13" i="8"/>
  <c r="V124" i="7"/>
  <c r="S11" i="8"/>
  <c r="T122" i="7"/>
  <c r="S10" i="8"/>
  <c r="T121" i="7"/>
  <c r="S44" i="8" s="1"/>
  <c r="V114" i="7"/>
  <c r="U37" i="8" s="1"/>
  <c r="Y18" i="7"/>
  <c r="Y55" i="7" s="1"/>
  <c r="AH36" i="7"/>
  <c r="AH73" i="7" s="1"/>
  <c r="AO43" i="7"/>
  <c r="V79" i="7"/>
  <c r="O115" i="7"/>
  <c r="N38" i="8" s="1"/>
  <c r="AE18" i="7"/>
  <c r="AR18" i="7" s="1"/>
  <c r="AR55" i="7" s="1"/>
  <c r="AG22" i="7"/>
  <c r="U98" i="7"/>
  <c r="T21" i="8" s="1"/>
  <c r="O80" i="7"/>
  <c r="AC24" i="7"/>
  <c r="AP24" i="7" s="1"/>
  <c r="AP61" i="7" s="1"/>
  <c r="AI18" i="7"/>
  <c r="AP41" i="7"/>
  <c r="AP113" i="7" s="1"/>
  <c r="AO36" i="8" s="1"/>
  <c r="U91" i="7"/>
  <c r="T14" i="8" s="1"/>
  <c r="AH34" i="7"/>
  <c r="AH71" i="7" s="1"/>
  <c r="M103" i="7"/>
  <c r="L26" i="8" s="1"/>
  <c r="AP43" i="7"/>
  <c r="U114" i="7"/>
  <c r="T37" i="8" s="1"/>
  <c r="AG16" i="7"/>
  <c r="P106" i="7"/>
  <c r="O29" i="8" s="1"/>
  <c r="AM9" i="7"/>
  <c r="U79" i="7"/>
  <c r="AE34" i="7"/>
  <c r="AE71" i="7" s="1"/>
  <c r="U64" i="7"/>
  <c r="M110" i="7"/>
  <c r="L33" i="8" s="1"/>
  <c r="AE38" i="7"/>
  <c r="AR38" i="7" s="1"/>
  <c r="AR75" i="7" s="1"/>
  <c r="N105" i="7"/>
  <c r="M28" i="8" s="1"/>
  <c r="AP25" i="7"/>
  <c r="AC20" i="7"/>
  <c r="R95" i="7"/>
  <c r="Q18" i="8" s="1"/>
  <c r="AB40" i="7"/>
  <c r="AB77" i="7" s="1"/>
  <c r="AJ32" i="7"/>
  <c r="AJ69" i="7" s="1"/>
  <c r="AH114" i="7"/>
  <c r="AG37" i="8" s="1"/>
  <c r="R63" i="7"/>
  <c r="U113" i="7"/>
  <c r="T36" i="8" s="1"/>
  <c r="U89" i="7"/>
  <c r="R87" i="7"/>
  <c r="AR26" i="7"/>
  <c r="AR63" i="7" s="1"/>
  <c r="M104" i="7"/>
  <c r="L27" i="8" s="1"/>
  <c r="Z113" i="7"/>
  <c r="Y36" i="8" s="1"/>
  <c r="P62" i="7"/>
  <c r="W114" i="7"/>
  <c r="V37" i="8" s="1"/>
  <c r="U115" i="7"/>
  <c r="T38" i="8" s="1"/>
  <c r="P64" i="7"/>
  <c r="N79" i="7"/>
  <c r="M113" i="7"/>
  <c r="L36" i="8" s="1"/>
  <c r="M106" i="7"/>
  <c r="L29" i="8" s="1"/>
  <c r="R112" i="7"/>
  <c r="Q35" i="8" s="1"/>
  <c r="AE39" i="7"/>
  <c r="AE76" i="7" s="1"/>
  <c r="AW42" i="7"/>
  <c r="AW114" i="7" s="1"/>
  <c r="AV37" i="8" s="1"/>
  <c r="Z36" i="7"/>
  <c r="Z73" i="7" s="1"/>
  <c r="L107" i="7"/>
  <c r="K30" i="8" s="1"/>
  <c r="AB39" i="7"/>
  <c r="AH39" i="7"/>
  <c r="AH76" i="7" s="1"/>
  <c r="AC39" i="7"/>
  <c r="AJ36" i="7"/>
  <c r="AG24" i="7"/>
  <c r="AG17" i="7"/>
  <c r="AT17" i="7" s="1"/>
  <c r="AT54" i="7" s="1"/>
  <c r="U92" i="7"/>
  <c r="T15" i="8" s="1"/>
  <c r="AB20" i="7"/>
  <c r="AI16" i="7"/>
  <c r="Z21" i="7"/>
  <c r="AM21" i="7" s="1"/>
  <c r="AM58" i="7" s="1"/>
  <c r="U63" i="7"/>
  <c r="AU26" i="7"/>
  <c r="AU63" i="7" s="1"/>
  <c r="AH35" i="7"/>
  <c r="W80" i="7"/>
  <c r="AJ34" i="7"/>
  <c r="N110" i="7"/>
  <c r="M33" i="8" s="1"/>
  <c r="AA39" i="7"/>
  <c r="AA76" i="7" s="1"/>
  <c r="AM15" i="7"/>
  <c r="AM52" i="7" s="1"/>
  <c r="M87" i="7"/>
  <c r="M121" i="7" s="1"/>
  <c r="L44" i="8" s="1"/>
  <c r="M115" i="7"/>
  <c r="M80" i="7"/>
  <c r="AU27" i="7"/>
  <c r="AU64" i="7" s="1"/>
  <c r="AH22" i="7"/>
  <c r="AH113" i="7"/>
  <c r="AG36" i="8" s="1"/>
  <c r="U78" i="7"/>
  <c r="U99" i="7"/>
  <c r="T22" i="8" s="1"/>
  <c r="X41" i="7"/>
  <c r="W111" i="7"/>
  <c r="V34" i="8" s="1"/>
  <c r="AJ38" i="7"/>
  <c r="N107" i="7"/>
  <c r="M30" i="8" s="1"/>
  <c r="O104" i="7"/>
  <c r="N27" i="8" s="1"/>
  <c r="AC40" i="7"/>
  <c r="O114" i="7"/>
  <c r="N37" i="8" s="1"/>
  <c r="AB31" i="7"/>
  <c r="AO31" i="7" s="1"/>
  <c r="AO68" i="7" s="1"/>
  <c r="Z39" i="7"/>
  <c r="AJ40" i="7"/>
  <c r="AE37" i="7"/>
  <c r="AB114" i="7"/>
  <c r="AA37" i="8" s="1"/>
  <c r="O79" i="7"/>
  <c r="AE36" i="7"/>
  <c r="R114" i="7"/>
  <c r="Q37" i="8" s="1"/>
  <c r="P114" i="7"/>
  <c r="O37" i="8" s="1"/>
  <c r="W79" i="7"/>
  <c r="AE35" i="7"/>
  <c r="AC35" i="7"/>
  <c r="AP35" i="7" s="1"/>
  <c r="AP72" i="7" s="1"/>
  <c r="AJ35" i="7"/>
  <c r="AJ72" i="7" s="1"/>
  <c r="AW43" i="7"/>
  <c r="AW80" i="7" s="1"/>
  <c r="AC114" i="7"/>
  <c r="AB37" i="8" s="1"/>
  <c r="R79" i="7"/>
  <c r="P79" i="7"/>
  <c r="W115" i="7"/>
  <c r="V38" i="8" s="1"/>
  <c r="Z23" i="7"/>
  <c r="AM23" i="7" s="1"/>
  <c r="AM60" i="7" s="1"/>
  <c r="P97" i="7"/>
  <c r="O20" i="8" s="1"/>
  <c r="AG21" i="7"/>
  <c r="AG15" i="7"/>
  <c r="AG18" i="7"/>
  <c r="AC15" i="7"/>
  <c r="AP27" i="7"/>
  <c r="T91" i="7"/>
  <c r="S14" i="8" s="1"/>
  <c r="P63" i="7"/>
  <c r="AP26" i="7"/>
  <c r="P89" i="7"/>
  <c r="AE17" i="7"/>
  <c r="AJ22" i="7"/>
  <c r="M52" i="7"/>
  <c r="P98" i="7"/>
  <c r="O21" i="8" s="1"/>
  <c r="AH16" i="7"/>
  <c r="AU16" i="7" s="1"/>
  <c r="AU53" i="7" s="1"/>
  <c r="AE21" i="7"/>
  <c r="W93" i="7"/>
  <c r="AL10" i="7"/>
  <c r="AF12" i="3" s="1"/>
  <c r="AJ19" i="7"/>
  <c r="AI24" i="7"/>
  <c r="Z19" i="7"/>
  <c r="AS10" i="7"/>
  <c r="AJ17" i="7"/>
  <c r="AQ10" i="7"/>
  <c r="AK12" i="3" s="1"/>
  <c r="AK10" i="7"/>
  <c r="Z17" i="7"/>
  <c r="AJ24" i="7"/>
  <c r="AH24" i="7"/>
  <c r="AG23" i="7"/>
  <c r="T23" i="3"/>
  <c r="S13" i="2" s="1"/>
  <c r="H22" i="3"/>
  <c r="H12" i="2"/>
  <c r="N22" i="3"/>
  <c r="N12" i="2"/>
  <c r="X43" i="7"/>
  <c r="AM10" i="7"/>
  <c r="AJ113" i="7"/>
  <c r="AI36" i="8" s="1"/>
  <c r="M22" i="3"/>
  <c r="M12" i="2"/>
  <c r="F23" i="3"/>
  <c r="R12" i="3"/>
  <c r="Q22" i="3"/>
  <c r="Q12" i="2"/>
  <c r="R11" i="3"/>
  <c r="P115" i="7"/>
  <c r="O38" i="8" s="1"/>
  <c r="P113" i="7"/>
  <c r="O36" i="8" s="1"/>
  <c r="W113" i="7"/>
  <c r="V36" i="8" s="1"/>
  <c r="P80" i="7"/>
  <c r="P78" i="7"/>
  <c r="AK43" i="7"/>
  <c r="I22" i="3"/>
  <c r="I12" i="2"/>
  <c r="L22" i="3"/>
  <c r="L12" i="2"/>
  <c r="O22" i="3"/>
  <c r="O12" i="2"/>
  <c r="K22" i="3"/>
  <c r="K12" i="2"/>
  <c r="J22" i="3"/>
  <c r="J12" i="2"/>
  <c r="W78" i="7"/>
  <c r="G22" i="3"/>
  <c r="G12" i="2"/>
  <c r="P22" i="3"/>
  <c r="P12" i="2"/>
  <c r="T22" i="3"/>
  <c r="T12" i="2"/>
  <c r="X22" i="3"/>
  <c r="X12" i="2"/>
  <c r="Z22" i="3"/>
  <c r="Z12" i="2"/>
  <c r="AQ32" i="7"/>
  <c r="AQ69" i="7" s="1"/>
  <c r="AD104" i="7"/>
  <c r="AC27" i="8" s="1"/>
  <c r="AU37" i="7"/>
  <c r="AU74" i="7" s="1"/>
  <c r="AH109" i="7"/>
  <c r="AM34" i="7"/>
  <c r="AM71" i="7" s="1"/>
  <c r="Z106" i="7"/>
  <c r="Y29" i="8" s="1"/>
  <c r="AV37" i="7"/>
  <c r="AV74" i="7" s="1"/>
  <c r="AI109" i="7"/>
  <c r="Y105" i="7"/>
  <c r="X28" i="8" s="1"/>
  <c r="AM32" i="7"/>
  <c r="AM69" i="7" s="1"/>
  <c r="Z104" i="7"/>
  <c r="Y27" i="8" s="1"/>
  <c r="AR32" i="7"/>
  <c r="AR69" i="7" s="1"/>
  <c r="AE104" i="7"/>
  <c r="AD27" i="8" s="1"/>
  <c r="AV38" i="7"/>
  <c r="AV75" i="7" s="1"/>
  <c r="AI110" i="7"/>
  <c r="AH33" i="8" s="1"/>
  <c r="AD112" i="7"/>
  <c r="AC35" i="8" s="1"/>
  <c r="AQ34" i="7"/>
  <c r="AQ71" i="7" s="1"/>
  <c r="AD106" i="7"/>
  <c r="AC29" i="8" s="1"/>
  <c r="AT39" i="7"/>
  <c r="AT76" i="7" s="1"/>
  <c r="AG111" i="7"/>
  <c r="AF34" i="8" s="1"/>
  <c r="BF42" i="7"/>
  <c r="BF79" i="7" s="1"/>
  <c r="AS114" i="7"/>
  <c r="AR37" i="8" s="1"/>
  <c r="AR115" i="7"/>
  <c r="AQ38" i="8" s="1"/>
  <c r="BI42" i="7"/>
  <c r="BI79" i="7" s="1"/>
  <c r="AV114" i="7"/>
  <c r="AU37" i="8" s="1"/>
  <c r="BG42" i="7"/>
  <c r="BG79" i="7" s="1"/>
  <c r="AT114" i="7"/>
  <c r="AS37" i="8" s="1"/>
  <c r="BC9" i="7"/>
  <c r="AW11" i="3" s="1"/>
  <c r="BA25" i="7"/>
  <c r="BA62" i="7" s="1"/>
  <c r="AN97" i="7"/>
  <c r="AM20" i="8" s="1"/>
  <c r="AL115" i="7"/>
  <c r="AK38" i="8" s="1"/>
  <c r="BA27" i="7"/>
  <c r="BA64" i="7" s="1"/>
  <c r="AN99" i="7"/>
  <c r="AM22" i="8" s="1"/>
  <c r="AO36" i="7"/>
  <c r="AO73" i="7" s="1"/>
  <c r="AB108" i="7"/>
  <c r="AA31" i="8" s="1"/>
  <c r="AV32" i="7"/>
  <c r="AV69" i="7" s="1"/>
  <c r="AI104" i="7"/>
  <c r="AH27" i="8" s="1"/>
  <c r="AV39" i="7"/>
  <c r="AV76" i="7" s="1"/>
  <c r="AI111" i="7"/>
  <c r="AH34" i="8" s="1"/>
  <c r="AP32" i="7"/>
  <c r="AP69" i="7" s="1"/>
  <c r="AC104" i="7"/>
  <c r="AB27" i="8" s="1"/>
  <c r="AP36" i="7"/>
  <c r="AP73" i="7" s="1"/>
  <c r="AC108" i="7"/>
  <c r="AB31" i="8" s="1"/>
  <c r="BG43" i="7"/>
  <c r="BG80" i="7" s="1"/>
  <c r="AT115" i="7"/>
  <c r="AS38" i="8" s="1"/>
  <c r="BI43" i="7"/>
  <c r="BI80" i="7" s="1"/>
  <c r="AV115" i="7"/>
  <c r="AU38" i="8" s="1"/>
  <c r="BA41" i="7"/>
  <c r="BA78" i="7" s="1"/>
  <c r="AN113" i="7"/>
  <c r="AM36" i="8" s="1"/>
  <c r="Y97" i="7"/>
  <c r="X20" i="8" s="1"/>
  <c r="AT36" i="7"/>
  <c r="AT73" i="7" s="1"/>
  <c r="AG108" i="7"/>
  <c r="AF31" i="8" s="1"/>
  <c r="AV31" i="7"/>
  <c r="AV68" i="7" s="1"/>
  <c r="AI103" i="7"/>
  <c r="AH26" i="8" s="1"/>
  <c r="AS37" i="7"/>
  <c r="AS74" i="7" s="1"/>
  <c r="AF109" i="7"/>
  <c r="AP33" i="7"/>
  <c r="AP70" i="7" s="1"/>
  <c r="AC105" i="7"/>
  <c r="AB28" i="8" s="1"/>
  <c r="AN34" i="7"/>
  <c r="AN71" i="7" s="1"/>
  <c r="AP31" i="7"/>
  <c r="AP68" i="7" s="1"/>
  <c r="AC103" i="7"/>
  <c r="AB26" i="8" s="1"/>
  <c r="AM33" i="7"/>
  <c r="AM70" i="7" s="1"/>
  <c r="Z105" i="7"/>
  <c r="Y28" i="8" s="1"/>
  <c r="AT37" i="7"/>
  <c r="AT74" i="7" s="1"/>
  <c r="AG109" i="7"/>
  <c r="AN33" i="7"/>
  <c r="AN70" i="7" s="1"/>
  <c r="AA105" i="7"/>
  <c r="Z28" i="8" s="1"/>
  <c r="AM40" i="7"/>
  <c r="AM77" i="7" s="1"/>
  <c r="Z112" i="7"/>
  <c r="Y35" i="8" s="1"/>
  <c r="AS40" i="7"/>
  <c r="AS77" i="7" s="1"/>
  <c r="AF112" i="7"/>
  <c r="AE35" i="8" s="1"/>
  <c r="AM35" i="7"/>
  <c r="AM72" i="7" s="1"/>
  <c r="Z107" i="7"/>
  <c r="Y30" i="8" s="1"/>
  <c r="AR31" i="7"/>
  <c r="AR68" i="7" s="1"/>
  <c r="AE103" i="7"/>
  <c r="AD26" i="8" s="1"/>
  <c r="BV10" i="7"/>
  <c r="BC23" i="3"/>
  <c r="BB13" i="2" s="1"/>
  <c r="Y99" i="7"/>
  <c r="X22" i="8" s="1"/>
  <c r="AA112" i="7"/>
  <c r="Z35" i="8" s="1"/>
  <c r="AW31" i="7"/>
  <c r="AW68" i="7" s="1"/>
  <c r="AJ103" i="7"/>
  <c r="AI26" i="8" s="1"/>
  <c r="Y109" i="7"/>
  <c r="AM38" i="7"/>
  <c r="AM75" i="7" s="1"/>
  <c r="Z110" i="7"/>
  <c r="Y33" i="8" s="1"/>
  <c r="AT33" i="7"/>
  <c r="AT70" i="7" s="1"/>
  <c r="AG105" i="7"/>
  <c r="AF28" i="8" s="1"/>
  <c r="AR33" i="7"/>
  <c r="AR70" i="7" s="1"/>
  <c r="AE105" i="7"/>
  <c r="AD28" i="8" s="1"/>
  <c r="AS34" i="7"/>
  <c r="AS71" i="7" s="1"/>
  <c r="AF106" i="7"/>
  <c r="AE29" i="8" s="1"/>
  <c r="AS35" i="7"/>
  <c r="AS72" i="7" s="1"/>
  <c r="AF107" i="7"/>
  <c r="AE30" i="8" s="1"/>
  <c r="AN35" i="7"/>
  <c r="AN72" i="7" s="1"/>
  <c r="AA107" i="7"/>
  <c r="Z30" i="8" s="1"/>
  <c r="AW39" i="7"/>
  <c r="AW76" i="7" s="1"/>
  <c r="AJ111" i="7"/>
  <c r="AI34" i="8" s="1"/>
  <c r="AV34" i="7"/>
  <c r="AV71" i="7" s="1"/>
  <c r="AI106" i="7"/>
  <c r="AH29" i="8" s="1"/>
  <c r="AN38" i="7"/>
  <c r="AN75" i="7" s="1"/>
  <c r="AA110" i="7"/>
  <c r="Z33" i="8" s="1"/>
  <c r="Y110" i="7"/>
  <c r="X33" i="8" s="1"/>
  <c r="AQ38" i="7"/>
  <c r="AQ75" i="7" s="1"/>
  <c r="AD110" i="7"/>
  <c r="AC33" i="8" s="1"/>
  <c r="AT34" i="7"/>
  <c r="AT71" i="7" s="1"/>
  <c r="AG106" i="7"/>
  <c r="AF29" i="8" s="1"/>
  <c r="AT31" i="7"/>
  <c r="AT68" i="7" s="1"/>
  <c r="AG103" i="7"/>
  <c r="AF26" i="8" s="1"/>
  <c r="AR40" i="7"/>
  <c r="AR77" i="7" s="1"/>
  <c r="AE112" i="7"/>
  <c r="AD35" i="8" s="1"/>
  <c r="AO32" i="7"/>
  <c r="AO69" i="7" s="1"/>
  <c r="AB104" i="7"/>
  <c r="AA27" i="8" s="1"/>
  <c r="AO37" i="7"/>
  <c r="AO74" i="7" s="1"/>
  <c r="AB109" i="7"/>
  <c r="AV35" i="7"/>
  <c r="AV72" i="7" s="1"/>
  <c r="AI107" i="7"/>
  <c r="AH30" i="8" s="1"/>
  <c r="AS36" i="7"/>
  <c r="AS73" i="7" s="1"/>
  <c r="AF108" i="7"/>
  <c r="AE31" i="8" s="1"/>
  <c r="AP34" i="7"/>
  <c r="AP71" i="7" s="1"/>
  <c r="AC106" i="7"/>
  <c r="AB29" i="8" s="1"/>
  <c r="AT38" i="7"/>
  <c r="AT75" i="7" s="1"/>
  <c r="AG110" i="7"/>
  <c r="AF33" i="8" s="1"/>
  <c r="AO33" i="7"/>
  <c r="AO70" i="7" s="1"/>
  <c r="AB105" i="7"/>
  <c r="AA28" i="8" s="1"/>
  <c r="AS32" i="7"/>
  <c r="AS69" i="7" s="1"/>
  <c r="AF104" i="7"/>
  <c r="AE27" i="8" s="1"/>
  <c r="Y107" i="7"/>
  <c r="X30" i="8" s="1"/>
  <c r="AQ31" i="7"/>
  <c r="AQ68" i="7" s="1"/>
  <c r="AD103" i="7"/>
  <c r="AC26" i="8" s="1"/>
  <c r="AM31" i="7"/>
  <c r="AM68" i="7" s="1"/>
  <c r="Z103" i="7"/>
  <c r="Y26" i="8" s="1"/>
  <c r="AT32" i="7"/>
  <c r="AT69" i="7" s="1"/>
  <c r="AG104" i="7"/>
  <c r="AF27" i="8" s="1"/>
  <c r="AT40" i="7"/>
  <c r="AT77" i="7" s="1"/>
  <c r="AG112" i="7"/>
  <c r="AF35" i="8" s="1"/>
  <c r="AZ43" i="7"/>
  <c r="AZ80" i="7" s="1"/>
  <c r="AM115" i="7"/>
  <c r="AL38" i="8" s="1"/>
  <c r="BI41" i="7"/>
  <c r="BI78" i="7" s="1"/>
  <c r="AV113" i="7"/>
  <c r="AU36" i="8" s="1"/>
  <c r="BC42" i="7"/>
  <c r="BC79" i="7" s="1"/>
  <c r="BA42" i="7"/>
  <c r="BA79" i="7" s="1"/>
  <c r="AN114" i="7"/>
  <c r="AM37" i="8" s="1"/>
  <c r="BF41" i="7"/>
  <c r="BF78" i="7" s="1"/>
  <c r="AS113" i="7"/>
  <c r="AR36" i="8" s="1"/>
  <c r="BB9" i="7"/>
  <c r="AV11" i="3" s="1"/>
  <c r="BF43" i="7"/>
  <c r="BF80" i="7" s="1"/>
  <c r="AS115" i="7"/>
  <c r="AR38" i="8" s="1"/>
  <c r="AQ36" i="7"/>
  <c r="AQ73" i="7" s="1"/>
  <c r="AD108" i="7"/>
  <c r="AC31" i="8" s="1"/>
  <c r="AO35" i="7"/>
  <c r="AO72" i="7" s="1"/>
  <c r="AB107" i="7"/>
  <c r="AA30" i="8" s="1"/>
  <c r="AP37" i="7"/>
  <c r="AP74" i="7" s="1"/>
  <c r="AC109" i="7"/>
  <c r="AT35" i="7"/>
  <c r="AT72" i="7" s="1"/>
  <c r="AG107" i="7"/>
  <c r="AF30" i="8" s="1"/>
  <c r="AN37" i="7"/>
  <c r="AN74" i="7" s="1"/>
  <c r="AA109" i="7"/>
  <c r="AS38" i="7"/>
  <c r="AS75" i="7" s="1"/>
  <c r="AF110" i="7"/>
  <c r="AE33" i="8" s="1"/>
  <c r="Y96" i="7"/>
  <c r="X19" i="8" s="1"/>
  <c r="Y98" i="7"/>
  <c r="X21" i="8" s="1"/>
  <c r="BH25" i="7"/>
  <c r="BH62" i="7" s="1"/>
  <c r="AU97" i="7"/>
  <c r="AT20" i="8" s="1"/>
  <c r="BA26" i="7"/>
  <c r="BA63" i="7" s="1"/>
  <c r="AN98" i="7"/>
  <c r="AM21" i="8" s="1"/>
  <c r="BE25" i="7"/>
  <c r="BE62" i="7" s="1"/>
  <c r="AR97" i="7"/>
  <c r="AQ20" i="8" s="1"/>
  <c r="BE27" i="7"/>
  <c r="BE64" i="7" s="1"/>
  <c r="AR99" i="7"/>
  <c r="AQ22" i="8" s="1"/>
  <c r="AO34" i="7"/>
  <c r="AO71" i="7" s="1"/>
  <c r="AB106" i="7"/>
  <c r="AA29" i="8" s="1"/>
  <c r="AO38" i="7"/>
  <c r="AO75" i="7" s="1"/>
  <c r="AB110" i="7"/>
  <c r="AA33" i="8" s="1"/>
  <c r="AV36" i="7"/>
  <c r="AV73" i="7" s="1"/>
  <c r="AI108" i="7"/>
  <c r="AH31" i="8" s="1"/>
  <c r="AS39" i="7"/>
  <c r="AS76" i="7" s="1"/>
  <c r="AF111" i="7"/>
  <c r="AE34" i="8" s="1"/>
  <c r="AP38" i="7"/>
  <c r="AP75" i="7" s="1"/>
  <c r="AC110" i="7"/>
  <c r="AB33" i="8" s="1"/>
  <c r="BD43" i="7"/>
  <c r="BD80" i="7" s="1"/>
  <c r="AQ115" i="7"/>
  <c r="AP38" i="8" s="1"/>
  <c r="BE41" i="7"/>
  <c r="BE78" i="7" s="1"/>
  <c r="AR113" i="7"/>
  <c r="AQ36" i="8" s="1"/>
  <c r="BH43" i="7"/>
  <c r="BH80" i="7" s="1"/>
  <c r="AU115" i="7"/>
  <c r="AT38" i="8" s="1"/>
  <c r="AO115" i="7"/>
  <c r="AN38" i="8" s="1"/>
  <c r="BA43" i="7"/>
  <c r="BA80" i="7" s="1"/>
  <c r="AN115" i="7"/>
  <c r="AM38" i="8" s="1"/>
  <c r="BG41" i="7"/>
  <c r="BG78" i="7" s="1"/>
  <c r="AT113" i="7"/>
  <c r="AS36" i="8" s="1"/>
  <c r="BF9" i="7"/>
  <c r="AZ11" i="3" s="1"/>
  <c r="AL33" i="7"/>
  <c r="AL70" i="7" s="1"/>
  <c r="AQ25" i="7"/>
  <c r="AQ62" i="7" s="1"/>
  <c r="AT25" i="7"/>
  <c r="AT62" i="7" s="1"/>
  <c r="AV27" i="7"/>
  <c r="AV64" i="7" s="1"/>
  <c r="L114" i="7"/>
  <c r="K37" i="8" s="1"/>
  <c r="Y42" i="7"/>
  <c r="Y79" i="7" s="1"/>
  <c r="U104" i="7"/>
  <c r="T27" i="8" s="1"/>
  <c r="AH32" i="7"/>
  <c r="AH69" i="7" s="1"/>
  <c r="L111" i="7"/>
  <c r="K34" i="8" s="1"/>
  <c r="Y39" i="7"/>
  <c r="Y76" i="7" s="1"/>
  <c r="X42" i="7"/>
  <c r="AS26" i="7"/>
  <c r="AS63" i="7" s="1"/>
  <c r="AQ26" i="7"/>
  <c r="AQ63" i="7" s="1"/>
  <c r="AM26" i="7"/>
  <c r="AM63" i="7" s="1"/>
  <c r="AW27" i="7"/>
  <c r="AW64" i="7" s="1"/>
  <c r="AV26" i="7"/>
  <c r="AV63" i="7" s="1"/>
  <c r="L108" i="7"/>
  <c r="Y36" i="7"/>
  <c r="Y73" i="7" s="1"/>
  <c r="L78" i="7"/>
  <c r="Y41" i="7"/>
  <c r="Y78" i="7" s="1"/>
  <c r="Q78" i="7"/>
  <c r="AD41" i="7"/>
  <c r="AD78" i="7" s="1"/>
  <c r="AW20" i="7"/>
  <c r="AW57" i="7" s="1"/>
  <c r="AN15" i="7"/>
  <c r="AN52" i="7" s="1"/>
  <c r="AN23" i="7"/>
  <c r="AN60" i="7" s="1"/>
  <c r="AP17" i="7"/>
  <c r="AP54" i="7" s="1"/>
  <c r="AU20" i="7"/>
  <c r="AU57" i="7" s="1"/>
  <c r="AT20" i="7"/>
  <c r="AT57" i="7" s="1"/>
  <c r="AW21" i="7"/>
  <c r="AW58" i="7" s="1"/>
  <c r="AN16" i="7"/>
  <c r="AN53" i="7" s="1"/>
  <c r="AN24" i="7"/>
  <c r="AN61" i="7" s="1"/>
  <c r="AT19" i="7"/>
  <c r="AT56" i="7" s="1"/>
  <c r="AS18" i="7"/>
  <c r="AS55" i="7" s="1"/>
  <c r="AP18" i="7"/>
  <c r="AP55" i="7" s="1"/>
  <c r="AP23" i="7"/>
  <c r="AP60" i="7" s="1"/>
  <c r="AR19" i="7"/>
  <c r="AR56" i="7" s="1"/>
  <c r="AV22" i="7"/>
  <c r="AV59" i="7" s="1"/>
  <c r="AM16" i="7"/>
  <c r="AM53" i="7" s="1"/>
  <c r="AW15" i="7"/>
  <c r="AW52" i="7" s="1"/>
  <c r="AN18" i="7"/>
  <c r="AN55" i="7" s="1"/>
  <c r="AP19" i="7"/>
  <c r="AP56" i="7" s="1"/>
  <c r="AU23" i="7"/>
  <c r="AU60" i="7" s="1"/>
  <c r="AR20" i="7"/>
  <c r="AR57" i="7" s="1"/>
  <c r="AL37" i="7"/>
  <c r="AL74" i="7" s="1"/>
  <c r="AL38" i="7"/>
  <c r="AL75" i="7" s="1"/>
  <c r="AL35" i="7"/>
  <c r="AL72" i="7" s="1"/>
  <c r="AQ27" i="7"/>
  <c r="AQ64" i="7" s="1"/>
  <c r="AM25" i="7"/>
  <c r="AM62" i="7" s="1"/>
  <c r="AT26" i="7"/>
  <c r="AT63" i="7" s="1"/>
  <c r="AW25" i="7"/>
  <c r="AW62" i="7" s="1"/>
  <c r="AV25" i="7"/>
  <c r="AV62" i="7" s="1"/>
  <c r="AO26" i="7"/>
  <c r="AO63" i="7" s="1"/>
  <c r="U103" i="7"/>
  <c r="AH31" i="7"/>
  <c r="AH68" i="7" s="1"/>
  <c r="Q105" i="7"/>
  <c r="P28" i="8" s="1"/>
  <c r="AD33" i="7"/>
  <c r="AD70" i="7" s="1"/>
  <c r="U110" i="7"/>
  <c r="T33" i="8" s="1"/>
  <c r="AH38" i="7"/>
  <c r="AH75" i="7" s="1"/>
  <c r="L103" i="7"/>
  <c r="Y31" i="7"/>
  <c r="Y68" i="7" s="1"/>
  <c r="Q111" i="7"/>
  <c r="P34" i="8" s="1"/>
  <c r="AD39" i="7"/>
  <c r="AD76" i="7" s="1"/>
  <c r="AS17" i="7"/>
  <c r="AS54" i="7" s="1"/>
  <c r="AW16" i="7"/>
  <c r="AW53" i="7" s="1"/>
  <c r="AN19" i="7"/>
  <c r="AN56" i="7" s="1"/>
  <c r="AP21" i="7"/>
  <c r="AP58" i="7" s="1"/>
  <c r="AV18" i="7"/>
  <c r="AV55" i="7" s="1"/>
  <c r="AO24" i="7"/>
  <c r="AO61" i="7" s="1"/>
  <c r="AS21" i="7"/>
  <c r="AS58" i="7" s="1"/>
  <c r="AN20" i="7"/>
  <c r="AN57" i="7" s="1"/>
  <c r="AP22" i="7"/>
  <c r="AP59" i="7" s="1"/>
  <c r="AU17" i="7"/>
  <c r="AU54" i="7" s="1"/>
  <c r="AU15" i="7"/>
  <c r="AU52" i="7" s="1"/>
  <c r="AQ19" i="7"/>
  <c r="AQ56" i="7" s="1"/>
  <c r="AW18" i="7"/>
  <c r="AW55" i="7" s="1"/>
  <c r="AQ18" i="7"/>
  <c r="AQ55" i="7" s="1"/>
  <c r="AN21" i="7"/>
  <c r="AN58" i="7" s="1"/>
  <c r="AR15" i="7"/>
  <c r="AR52" i="7" s="1"/>
  <c r="AR23" i="7"/>
  <c r="AR60" i="7" s="1"/>
  <c r="AV20" i="7"/>
  <c r="AV57" i="7" s="1"/>
  <c r="AQ22" i="7"/>
  <c r="AQ59" i="7" s="1"/>
  <c r="AN22" i="7"/>
  <c r="AN59" i="7" s="1"/>
  <c r="AP16" i="7"/>
  <c r="AP53" i="7" s="1"/>
  <c r="AU19" i="7"/>
  <c r="AU56" i="7" s="1"/>
  <c r="AR16" i="7"/>
  <c r="AR53" i="7" s="1"/>
  <c r="AR24" i="7"/>
  <c r="AR61" i="7" s="1"/>
  <c r="AS27" i="7"/>
  <c r="AS64" i="7" s="1"/>
  <c r="AO25" i="7"/>
  <c r="AO62" i="7" s="1"/>
  <c r="AY43" i="7"/>
  <c r="AY80" i="7" s="1"/>
  <c r="L79" i="7"/>
  <c r="AS25" i="7"/>
  <c r="AS62" i="7" s="1"/>
  <c r="AM27" i="7"/>
  <c r="AM64" i="7" s="1"/>
  <c r="AT27" i="7"/>
  <c r="AT64" i="7" s="1"/>
  <c r="AW26" i="7"/>
  <c r="AW63" i="7" s="1"/>
  <c r="AO27" i="7"/>
  <c r="AO64" i="7" s="1"/>
  <c r="U112" i="7"/>
  <c r="T35" i="8" s="1"/>
  <c r="AH40" i="7"/>
  <c r="AH77" i="7" s="1"/>
  <c r="Q109" i="7"/>
  <c r="X109" i="7" s="1"/>
  <c r="AD37" i="7"/>
  <c r="AD74" i="7" s="1"/>
  <c r="U105" i="7"/>
  <c r="T28" i="8" s="1"/>
  <c r="AH33" i="7"/>
  <c r="AH70" i="7" s="1"/>
  <c r="L106" i="7"/>
  <c r="Y34" i="7"/>
  <c r="Y71" i="7" s="1"/>
  <c r="Q107" i="7"/>
  <c r="P30" i="8" s="1"/>
  <c r="AD35" i="7"/>
  <c r="AD72" i="7" s="1"/>
  <c r="L91" i="7"/>
  <c r="K14" i="8" s="1"/>
  <c r="Y19" i="7"/>
  <c r="Y56" i="7" s="1"/>
  <c r="O87" i="7"/>
  <c r="AB15" i="7"/>
  <c r="V93" i="7"/>
  <c r="AI21" i="7"/>
  <c r="AL25" i="7"/>
  <c r="AL62" i="7" s="1"/>
  <c r="AK25" i="7"/>
  <c r="S91" i="7"/>
  <c r="R14" i="8" s="1"/>
  <c r="AF19" i="7"/>
  <c r="Q96" i="7"/>
  <c r="P19" i="8" s="1"/>
  <c r="AD24" i="7"/>
  <c r="Q89" i="7"/>
  <c r="AD17" i="7"/>
  <c r="L93" i="7"/>
  <c r="Y21" i="7"/>
  <c r="Y58" i="7" s="1"/>
  <c r="V91" i="7"/>
  <c r="U14" i="8" s="1"/>
  <c r="AI19" i="7"/>
  <c r="O89" i="7"/>
  <c r="AB17" i="7"/>
  <c r="V95" i="7"/>
  <c r="U18" i="8" s="1"/>
  <c r="AI23" i="7"/>
  <c r="L92" i="7"/>
  <c r="Y20" i="7"/>
  <c r="Y57" i="7" s="1"/>
  <c r="O91" i="7"/>
  <c r="N14" i="8" s="1"/>
  <c r="AB19" i="7"/>
  <c r="S94" i="7"/>
  <c r="R17" i="8" s="1"/>
  <c r="AF22" i="7"/>
  <c r="S95" i="7"/>
  <c r="R18" i="8" s="1"/>
  <c r="AF23" i="7"/>
  <c r="S88" i="7"/>
  <c r="AF16" i="7"/>
  <c r="Q93" i="7"/>
  <c r="AD21" i="7"/>
  <c r="M92" i="7"/>
  <c r="L15" i="8" s="1"/>
  <c r="Z20" i="7"/>
  <c r="M90" i="7"/>
  <c r="M124" i="7" s="1"/>
  <c r="Z18" i="7"/>
  <c r="O93" i="7"/>
  <c r="AB21" i="7"/>
  <c r="L94" i="7"/>
  <c r="K17" i="8" s="1"/>
  <c r="Y22" i="7"/>
  <c r="Y59" i="7" s="1"/>
  <c r="L95" i="7"/>
  <c r="K18" i="8" s="1"/>
  <c r="Y23" i="7"/>
  <c r="Y60" i="7" s="1"/>
  <c r="O95" i="7"/>
  <c r="N18" i="8" s="1"/>
  <c r="AB23" i="7"/>
  <c r="AK27" i="7"/>
  <c r="AL27" i="7"/>
  <c r="AL64" i="7" s="1"/>
  <c r="Q95" i="7"/>
  <c r="P18" i="8" s="1"/>
  <c r="AD23" i="7"/>
  <c r="Q88" i="7"/>
  <c r="AD16" i="7"/>
  <c r="S92" i="7"/>
  <c r="R15" i="8" s="1"/>
  <c r="AF20" i="7"/>
  <c r="Q87" i="7"/>
  <c r="Q121" i="7" s="1"/>
  <c r="P44" i="8" s="1"/>
  <c r="AD15" i="7"/>
  <c r="M96" i="7"/>
  <c r="Z24" i="7"/>
  <c r="M94" i="7"/>
  <c r="L17" i="8" s="1"/>
  <c r="Z22" i="7"/>
  <c r="AL24" i="7"/>
  <c r="AL61" i="7" s="1"/>
  <c r="L88" i="7"/>
  <c r="L122" i="7" s="1"/>
  <c r="K45" i="8" s="1"/>
  <c r="Y16" i="7"/>
  <c r="Y53" i="7" s="1"/>
  <c r="O90" i="7"/>
  <c r="AB18" i="7"/>
  <c r="L89" i="7"/>
  <c r="Y17" i="7"/>
  <c r="Y54" i="7" s="1"/>
  <c r="V87" i="7"/>
  <c r="AI15" i="7"/>
  <c r="O94" i="7"/>
  <c r="N17" i="8" s="1"/>
  <c r="AB22" i="7"/>
  <c r="L52" i="7"/>
  <c r="Y15" i="7"/>
  <c r="Y52" i="7" s="1"/>
  <c r="V89" i="7"/>
  <c r="AI17" i="7"/>
  <c r="AK26" i="7"/>
  <c r="AL26" i="7"/>
  <c r="AL63" i="7" s="1"/>
  <c r="S87" i="7"/>
  <c r="AF15" i="7"/>
  <c r="Q92" i="7"/>
  <c r="P15" i="8" s="1"/>
  <c r="AD20" i="7"/>
  <c r="S96" i="7"/>
  <c r="R19" i="8" s="1"/>
  <c r="AF24" i="7"/>
  <c r="O88" i="7"/>
  <c r="AB16" i="7"/>
  <c r="AK9" i="7"/>
  <c r="AL9" i="7"/>
  <c r="V63" i="7"/>
  <c r="V98" i="7"/>
  <c r="U21" i="8" s="1"/>
  <c r="S64" i="7"/>
  <c r="S99" i="7"/>
  <c r="R22" i="8" s="1"/>
  <c r="Q62" i="7"/>
  <c r="Q97" i="7"/>
  <c r="P20" i="8" s="1"/>
  <c r="M64" i="7"/>
  <c r="M99" i="7"/>
  <c r="L22" i="8" s="1"/>
  <c r="T64" i="7"/>
  <c r="T99" i="7"/>
  <c r="S22" i="8" s="1"/>
  <c r="W63" i="7"/>
  <c r="W98" i="7"/>
  <c r="V21" i="8" s="1"/>
  <c r="L64" i="7"/>
  <c r="X27" i="7"/>
  <c r="L99" i="7"/>
  <c r="K22" i="8" s="1"/>
  <c r="Q64" i="7"/>
  <c r="Q99" i="7"/>
  <c r="P22" i="8" s="1"/>
  <c r="M63" i="7"/>
  <c r="M98" i="7"/>
  <c r="L21" i="8" s="1"/>
  <c r="W64" i="7"/>
  <c r="W99" i="7"/>
  <c r="V22" i="8" s="1"/>
  <c r="O62" i="7"/>
  <c r="O97" i="7"/>
  <c r="N20" i="8" s="1"/>
  <c r="S63" i="7"/>
  <c r="S98" i="7"/>
  <c r="R21" i="8" s="1"/>
  <c r="Q63" i="7"/>
  <c r="Q98" i="7"/>
  <c r="P21" i="8" s="1"/>
  <c r="M62" i="7"/>
  <c r="M97" i="7"/>
  <c r="L20" i="8" s="1"/>
  <c r="T63" i="7"/>
  <c r="T98" i="7"/>
  <c r="S21" i="8" s="1"/>
  <c r="W62" i="7"/>
  <c r="W97" i="7"/>
  <c r="V20" i="8" s="1"/>
  <c r="V62" i="7"/>
  <c r="V97" i="7"/>
  <c r="U20" i="8" s="1"/>
  <c r="O64" i="7"/>
  <c r="O99" i="7"/>
  <c r="N22" i="8" s="1"/>
  <c r="L63" i="7"/>
  <c r="L98" i="7"/>
  <c r="X26" i="7"/>
  <c r="S62" i="7"/>
  <c r="S97" i="7"/>
  <c r="R20" i="8" s="1"/>
  <c r="T62" i="7"/>
  <c r="T97" i="7"/>
  <c r="S20" i="8" s="1"/>
  <c r="V64" i="7"/>
  <c r="V99" i="7"/>
  <c r="U22" i="8" s="1"/>
  <c r="O63" i="7"/>
  <c r="O98" i="7"/>
  <c r="N21" i="8" s="1"/>
  <c r="L62" i="7"/>
  <c r="X25" i="7"/>
  <c r="L97" i="7"/>
  <c r="O36" i="11" l="1"/>
  <c r="BE43" i="7"/>
  <c r="BE80" i="7" s="1"/>
  <c r="AM36" i="7"/>
  <c r="AM73" i="7" s="1"/>
  <c r="AR34" i="7"/>
  <c r="AR71" i="7" s="1"/>
  <c r="AH108" i="7"/>
  <c r="AG31" i="8" s="1"/>
  <c r="BE10" i="7"/>
  <c r="AY12" i="3" s="1"/>
  <c r="AJ121" i="7"/>
  <c r="AJ128" i="7" s="1"/>
  <c r="BA10" i="7"/>
  <c r="AU12" i="3" s="1"/>
  <c r="BH27" i="7"/>
  <c r="BH64" i="7" s="1"/>
  <c r="AU34" i="7"/>
  <c r="AU71" i="7" s="1"/>
  <c r="AR114" i="7"/>
  <c r="AQ37" i="8" s="1"/>
  <c r="BE42" i="7"/>
  <c r="BE79" i="7" s="1"/>
  <c r="L10" i="8"/>
  <c r="AN17" i="7"/>
  <c r="AN54" i="7" s="1"/>
  <c r="BJ41" i="7"/>
  <c r="BJ78" i="7" s="1"/>
  <c r="AU36" i="7"/>
  <c r="AU73" i="7" s="1"/>
  <c r="AA106" i="7"/>
  <c r="Z29" i="8" s="1"/>
  <c r="BH41" i="7"/>
  <c r="BH78" i="7" s="1"/>
  <c r="AO40" i="7"/>
  <c r="AO77" i="7" s="1"/>
  <c r="AE106" i="7"/>
  <c r="AD29" i="8" s="1"/>
  <c r="AP114" i="7"/>
  <c r="AO37" i="8" s="1"/>
  <c r="AN40" i="7"/>
  <c r="AN77" i="7" s="1"/>
  <c r="AH106" i="7"/>
  <c r="AG29" i="8" s="1"/>
  <c r="AQ40" i="7"/>
  <c r="AQ77" i="7" s="1"/>
  <c r="AA12" i="2"/>
  <c r="BI9" i="7"/>
  <c r="BC11" i="3" s="1"/>
  <c r="AM114" i="7"/>
  <c r="AL37" i="8" s="1"/>
  <c r="AQ114" i="7"/>
  <c r="AP37" i="8" s="1"/>
  <c r="AO113" i="7"/>
  <c r="AN36" i="8" s="1"/>
  <c r="BD42" i="7"/>
  <c r="BD79" i="7" s="1"/>
  <c r="Z109" i="7"/>
  <c r="AC124" i="7"/>
  <c r="AC131" i="7" s="1"/>
  <c r="BB41" i="7"/>
  <c r="BB78" i="7" s="1"/>
  <c r="Y112" i="7"/>
  <c r="X35" i="8" s="1"/>
  <c r="BB10" i="7"/>
  <c r="AV12" i="3" s="1"/>
  <c r="AV23" i="3" s="1"/>
  <c r="AU13" i="2" s="1"/>
  <c r="AM87" i="7"/>
  <c r="AL10" i="8" s="1"/>
  <c r="AZ42" i="7"/>
  <c r="AZ79" i="7" s="1"/>
  <c r="AI105" i="7"/>
  <c r="AH28" i="8" s="1"/>
  <c r="AZ41" i="7"/>
  <c r="AZ78" i="7" s="1"/>
  <c r="AU114" i="7"/>
  <c r="AT37" i="8" s="1"/>
  <c r="AL18" i="7"/>
  <c r="AL55" i="7" s="1"/>
  <c r="AR22" i="7"/>
  <c r="AR59" i="7" s="1"/>
  <c r="BE26" i="7"/>
  <c r="BE63" i="7" s="1"/>
  <c r="AF124" i="7"/>
  <c r="AF131" i="7" s="1"/>
  <c r="AC123" i="7"/>
  <c r="AC130" i="7" s="1"/>
  <c r="AM37" i="7"/>
  <c r="AM74" i="7" s="1"/>
  <c r="Y90" i="7"/>
  <c r="Y124" i="7" s="1"/>
  <c r="AH111" i="7"/>
  <c r="AG34" i="8" s="1"/>
  <c r="AA104" i="7"/>
  <c r="Z27" i="8" s="1"/>
  <c r="AF103" i="7"/>
  <c r="AE26" i="8" s="1"/>
  <c r="AL40" i="7"/>
  <c r="AL77" i="7" s="1"/>
  <c r="AU99" i="7"/>
  <c r="AT22" i="8" s="1"/>
  <c r="AR98" i="7"/>
  <c r="AQ21" i="8" s="1"/>
  <c r="BD9" i="7"/>
  <c r="AX11" i="3" s="1"/>
  <c r="AU39" i="7"/>
  <c r="AU76" i="7" s="1"/>
  <c r="AN32" i="7"/>
  <c r="AN69" i="7" s="1"/>
  <c r="AS31" i="7"/>
  <c r="AS68" i="7" s="1"/>
  <c r="P13" i="8"/>
  <c r="Z108" i="7"/>
  <c r="Y31" i="8" s="1"/>
  <c r="AV33" i="7"/>
  <c r="AV70" i="7" s="1"/>
  <c r="AI112" i="7"/>
  <c r="AH35" i="8" s="1"/>
  <c r="BH42" i="7"/>
  <c r="BH79" i="7" s="1"/>
  <c r="AK115" i="7"/>
  <c r="AU113" i="7"/>
  <c r="AT36" i="8" s="1"/>
  <c r="AE121" i="7"/>
  <c r="AE128" i="7" s="1"/>
  <c r="AJ122" i="7"/>
  <c r="AJ129" i="7" s="1"/>
  <c r="Z121" i="7"/>
  <c r="Z128" i="7" s="1"/>
  <c r="AC122" i="7"/>
  <c r="AC129" i="7" s="1"/>
  <c r="AF123" i="7"/>
  <c r="AF130" i="7" s="1"/>
  <c r="AA124" i="7"/>
  <c r="AA131" i="7" s="1"/>
  <c r="BE9" i="7"/>
  <c r="AY11" i="3" s="1"/>
  <c r="AO114" i="7"/>
  <c r="AN37" i="8" s="1"/>
  <c r="AA108" i="7"/>
  <c r="Z31" i="8" s="1"/>
  <c r="AV40" i="7"/>
  <c r="AV77" i="7" s="1"/>
  <c r="AD124" i="7"/>
  <c r="AD131" i="7" s="1"/>
  <c r="AJ124" i="7"/>
  <c r="AJ131" i="7" s="1"/>
  <c r="BB42" i="7"/>
  <c r="BB79" i="7" s="1"/>
  <c r="AW113" i="7"/>
  <c r="AV36" i="8" s="1"/>
  <c r="AN36" i="7"/>
  <c r="AN73" i="7" s="1"/>
  <c r="AM113" i="7"/>
  <c r="AL36" i="8" s="1"/>
  <c r="V13" i="8"/>
  <c r="AA122" i="7"/>
  <c r="AA129" i="7" s="1"/>
  <c r="AH121" i="7"/>
  <c r="AH128" i="7" s="1"/>
  <c r="AF96" i="7"/>
  <c r="AE19" i="8" s="1"/>
  <c r="AF61" i="7"/>
  <c r="AI89" i="7"/>
  <c r="AH12" i="8" s="1"/>
  <c r="AI54" i="7"/>
  <c r="AD96" i="7"/>
  <c r="AC19" i="8" s="1"/>
  <c r="AD61" i="7"/>
  <c r="Z96" i="7"/>
  <c r="Y19" i="8" s="1"/>
  <c r="Z61" i="7"/>
  <c r="AF92" i="7"/>
  <c r="AE15" i="8" s="1"/>
  <c r="AF57" i="7"/>
  <c r="AD95" i="7"/>
  <c r="AC18" i="8" s="1"/>
  <c r="AD60" i="7"/>
  <c r="AB95" i="7"/>
  <c r="AA18" i="8" s="1"/>
  <c r="AB60" i="7"/>
  <c r="Z90" i="7"/>
  <c r="Y13" i="8" s="1"/>
  <c r="Z55" i="7"/>
  <c r="AD93" i="7"/>
  <c r="AD58" i="7"/>
  <c r="AF95" i="7"/>
  <c r="AE18" i="8" s="1"/>
  <c r="AF60" i="7"/>
  <c r="AB91" i="7"/>
  <c r="AA14" i="8" s="1"/>
  <c r="AB56" i="7"/>
  <c r="AI95" i="7"/>
  <c r="AH18" i="8" s="1"/>
  <c r="AI60" i="7"/>
  <c r="AI91" i="7"/>
  <c r="AH14" i="8" s="1"/>
  <c r="AI56" i="7"/>
  <c r="Z89" i="7"/>
  <c r="Y12" i="8" s="1"/>
  <c r="Z54" i="7"/>
  <c r="AP99" i="7"/>
  <c r="AO22" i="8" s="1"/>
  <c r="AP64" i="7"/>
  <c r="AG93" i="7"/>
  <c r="AG58" i="7"/>
  <c r="AB103" i="7"/>
  <c r="AA26" i="8" s="1"/>
  <c r="AB68" i="7"/>
  <c r="AB92" i="7"/>
  <c r="AA15" i="8" s="1"/>
  <c r="AB57" i="7"/>
  <c r="AW36" i="7"/>
  <c r="AW73" i="7" s="1"/>
  <c r="AJ73" i="7"/>
  <c r="BC25" i="7"/>
  <c r="BC62" i="7" s="1"/>
  <c r="AP62" i="7"/>
  <c r="AI90" i="7"/>
  <c r="AH13" i="8" s="1"/>
  <c r="AI55" i="7"/>
  <c r="AG94" i="7"/>
  <c r="AF17" i="8" s="1"/>
  <c r="AG59" i="7"/>
  <c r="BB43" i="7"/>
  <c r="BB80" i="7" s="1"/>
  <c r="AO80" i="7"/>
  <c r="Z122" i="7"/>
  <c r="Z129" i="7" s="1"/>
  <c r="AH123" i="7"/>
  <c r="AH130" i="7" s="1"/>
  <c r="AE122" i="7"/>
  <c r="AE129" i="7" s="1"/>
  <c r="AW33" i="7"/>
  <c r="AW70" i="7" s="1"/>
  <c r="AJ70" i="7"/>
  <c r="AH93" i="7"/>
  <c r="AH58" i="7"/>
  <c r="AB88" i="7"/>
  <c r="AA11" i="8" s="1"/>
  <c r="AB53" i="7"/>
  <c r="AD92" i="7"/>
  <c r="AC15" i="8" s="1"/>
  <c r="AD57" i="7"/>
  <c r="AI87" i="7"/>
  <c r="AH10" i="8" s="1"/>
  <c r="AI52" i="7"/>
  <c r="AB90" i="7"/>
  <c r="AA13" i="8" s="1"/>
  <c r="AB55" i="7"/>
  <c r="AD89" i="7"/>
  <c r="AC12" i="8" s="1"/>
  <c r="AD54" i="7"/>
  <c r="AF91" i="7"/>
  <c r="AE14" i="8" s="1"/>
  <c r="AF56" i="7"/>
  <c r="AI93" i="7"/>
  <c r="AI58" i="7"/>
  <c r="AG95" i="7"/>
  <c r="AF18" i="8" s="1"/>
  <c r="AG60" i="7"/>
  <c r="Z91" i="7"/>
  <c r="Y14" i="8" s="1"/>
  <c r="Z56" i="7"/>
  <c r="BC26" i="7"/>
  <c r="BC63" i="7" s="1"/>
  <c r="AP63" i="7"/>
  <c r="AC87" i="7"/>
  <c r="AB10" i="8" s="1"/>
  <c r="AC52" i="7"/>
  <c r="AC107" i="7"/>
  <c r="AB30" i="8" s="1"/>
  <c r="AC72" i="7"/>
  <c r="AE109" i="7"/>
  <c r="AE74" i="7"/>
  <c r="AW38" i="7"/>
  <c r="AW75" i="7" s="1"/>
  <c r="AJ75" i="7"/>
  <c r="AH94" i="7"/>
  <c r="AG17" i="8" s="1"/>
  <c r="AH59" i="7"/>
  <c r="AJ106" i="7"/>
  <c r="AI29" i="8" s="1"/>
  <c r="AJ71" i="7"/>
  <c r="AP39" i="7"/>
  <c r="AP76" i="7" s="1"/>
  <c r="AC76" i="7"/>
  <c r="AG88" i="7"/>
  <c r="AF11" i="8" s="1"/>
  <c r="AG53" i="7"/>
  <c r="AC96" i="7"/>
  <c r="AB19" i="8" s="1"/>
  <c r="AC61" i="7"/>
  <c r="AE90" i="7"/>
  <c r="AD13" i="8" s="1"/>
  <c r="AE55" i="7"/>
  <c r="Z94" i="7"/>
  <c r="Y17" i="8" s="1"/>
  <c r="Z59" i="7"/>
  <c r="AD87" i="7"/>
  <c r="AC10" i="8" s="1"/>
  <c r="AD52" i="7"/>
  <c r="AD88" i="7"/>
  <c r="AC11" i="8" s="1"/>
  <c r="AD53" i="7"/>
  <c r="AB93" i="7"/>
  <c r="AB58" i="7"/>
  <c r="Z92" i="7"/>
  <c r="Y15" i="8" s="1"/>
  <c r="Z57" i="7"/>
  <c r="AF88" i="7"/>
  <c r="AE11" i="8" s="1"/>
  <c r="AF53" i="7"/>
  <c r="AF94" i="7"/>
  <c r="AE17" i="8" s="1"/>
  <c r="AF59" i="7"/>
  <c r="AB89" i="7"/>
  <c r="AA12" i="8" s="1"/>
  <c r="AB54" i="7"/>
  <c r="AB112" i="7"/>
  <c r="AA35" i="8" s="1"/>
  <c r="AH96" i="7"/>
  <c r="AG19" i="8" s="1"/>
  <c r="AH61" i="7"/>
  <c r="AI96" i="7"/>
  <c r="AH19" i="8" s="1"/>
  <c r="AI61" i="7"/>
  <c r="AE93" i="7"/>
  <c r="AE58" i="7"/>
  <c r="AJ94" i="7"/>
  <c r="AI17" i="8" s="1"/>
  <c r="AJ59" i="7"/>
  <c r="AG90" i="7"/>
  <c r="AF13" i="8" s="1"/>
  <c r="AG55" i="7"/>
  <c r="Z95" i="7"/>
  <c r="Y18" i="8" s="1"/>
  <c r="Z60" i="7"/>
  <c r="AR35" i="7"/>
  <c r="AR72" i="7" s="1"/>
  <c r="AE72" i="7"/>
  <c r="AR36" i="7"/>
  <c r="AR73" i="7" s="1"/>
  <c r="AE73" i="7"/>
  <c r="AW40" i="7"/>
  <c r="AW77" i="7" s="1"/>
  <c r="AJ77" i="7"/>
  <c r="AP40" i="7"/>
  <c r="AP77" i="7" s="1"/>
  <c r="AC77" i="7"/>
  <c r="Z93" i="7"/>
  <c r="Z58" i="7"/>
  <c r="AG89" i="7"/>
  <c r="AF12" i="8" s="1"/>
  <c r="AG54" i="7"/>
  <c r="BJ42" i="7"/>
  <c r="BJ79" i="7" s="1"/>
  <c r="AW79" i="7"/>
  <c r="AE110" i="7"/>
  <c r="AD33" i="8" s="1"/>
  <c r="AE75" i="7"/>
  <c r="AA123" i="7"/>
  <c r="AA130" i="7" s="1"/>
  <c r="AJ95" i="7"/>
  <c r="AI18" i="8" s="1"/>
  <c r="AJ60" i="7"/>
  <c r="AA103" i="7"/>
  <c r="Z26" i="8" s="1"/>
  <c r="AA68" i="7"/>
  <c r="AA81" i="7" s="1"/>
  <c r="U10" i="3" s="1"/>
  <c r="AE92" i="7"/>
  <c r="AD15" i="8" s="1"/>
  <c r="AE57" i="7"/>
  <c r="AF87" i="7"/>
  <c r="AE10" i="8" s="1"/>
  <c r="AF52" i="7"/>
  <c r="AB94" i="7"/>
  <c r="AA17" i="8" s="1"/>
  <c r="AB59" i="7"/>
  <c r="AB87" i="7"/>
  <c r="AA10" i="8" s="1"/>
  <c r="AB52" i="7"/>
  <c r="AJ96" i="7"/>
  <c r="AI19" i="8" s="1"/>
  <c r="AJ61" i="7"/>
  <c r="AJ89" i="7"/>
  <c r="AI12" i="8" s="1"/>
  <c r="AJ54" i="7"/>
  <c r="AJ91" i="7"/>
  <c r="AI14" i="8" s="1"/>
  <c r="AJ56" i="7"/>
  <c r="AH88" i="7"/>
  <c r="AG11" i="8" s="1"/>
  <c r="AH53" i="7"/>
  <c r="AE89" i="7"/>
  <c r="AD12" i="8" s="1"/>
  <c r="AE54" i="7"/>
  <c r="AG87" i="7"/>
  <c r="AF10" i="8" s="1"/>
  <c r="AG52" i="7"/>
  <c r="AM39" i="7"/>
  <c r="AM76" i="7" s="1"/>
  <c r="Z76" i="7"/>
  <c r="Z81" i="7" s="1"/>
  <c r="T10" i="3" s="1"/>
  <c r="AU35" i="7"/>
  <c r="AU72" i="7" s="1"/>
  <c r="AH72" i="7"/>
  <c r="AI88" i="7"/>
  <c r="AH11" i="8" s="1"/>
  <c r="AI53" i="7"/>
  <c r="AG96" i="7"/>
  <c r="AF19" i="8" s="1"/>
  <c r="AG61" i="7"/>
  <c r="AO39" i="7"/>
  <c r="AO76" i="7" s="1"/>
  <c r="AB76" i="7"/>
  <c r="AC92" i="7"/>
  <c r="AB15" i="8" s="1"/>
  <c r="AC57" i="7"/>
  <c r="BC43" i="7"/>
  <c r="BC80" i="7" s="1"/>
  <c r="AP80" i="7"/>
  <c r="BC41" i="7"/>
  <c r="BC78" i="7" s="1"/>
  <c r="AP78" i="7"/>
  <c r="AW37" i="7"/>
  <c r="AW74" i="7" s="1"/>
  <c r="AJ74" i="7"/>
  <c r="AS33" i="7"/>
  <c r="AS70" i="7" s="1"/>
  <c r="AF70" i="7"/>
  <c r="AF81" i="7" s="1"/>
  <c r="Z10" i="3" s="1"/>
  <c r="AH90" i="7"/>
  <c r="AH55" i="7"/>
  <c r="AN31" i="7"/>
  <c r="AN68" i="7" s="1"/>
  <c r="AE111" i="7"/>
  <c r="AD34" i="8" s="1"/>
  <c r="Y104" i="7"/>
  <c r="X27" i="8" s="1"/>
  <c r="BA9" i="7"/>
  <c r="AU11" i="3" s="1"/>
  <c r="T129" i="7"/>
  <c r="S45" i="8"/>
  <c r="V129" i="7"/>
  <c r="U45" i="8"/>
  <c r="T130" i="7"/>
  <c r="S46" i="8"/>
  <c r="P131" i="7"/>
  <c r="O47" i="8"/>
  <c r="R129" i="7"/>
  <c r="Q45" i="8"/>
  <c r="W130" i="7"/>
  <c r="V46" i="8"/>
  <c r="M131" i="7"/>
  <c r="L47" i="8"/>
  <c r="AL32" i="7"/>
  <c r="R131" i="7"/>
  <c r="Q47" i="8"/>
  <c r="Z44" i="8"/>
  <c r="M130" i="7"/>
  <c r="L46" i="8"/>
  <c r="S131" i="7"/>
  <c r="R47" i="8"/>
  <c r="T131" i="7"/>
  <c r="S47" i="8"/>
  <c r="P129" i="7"/>
  <c r="O45" i="8"/>
  <c r="U129" i="7"/>
  <c r="T45" i="8"/>
  <c r="AF105" i="7"/>
  <c r="AE28" i="8" s="1"/>
  <c r="V131" i="7"/>
  <c r="U47" i="8"/>
  <c r="AI44" i="8"/>
  <c r="N129" i="7"/>
  <c r="M45" i="8"/>
  <c r="M129" i="7"/>
  <c r="L45" i="8"/>
  <c r="N130" i="7"/>
  <c r="M46" i="8"/>
  <c r="S130" i="7"/>
  <c r="R46" i="8"/>
  <c r="AB45" i="8"/>
  <c r="U131" i="7"/>
  <c r="T47" i="8"/>
  <c r="R130" i="7"/>
  <c r="Q46" i="8"/>
  <c r="AC112" i="7"/>
  <c r="AB35" i="8" s="1"/>
  <c r="W131" i="7"/>
  <c r="V47" i="8"/>
  <c r="AC47" i="8"/>
  <c r="N131" i="7"/>
  <c r="M47" i="8"/>
  <c r="Q131" i="7"/>
  <c r="P47" i="8"/>
  <c r="W129" i="7"/>
  <c r="V45" i="8"/>
  <c r="AK23" i="3"/>
  <c r="AJ13" i="2" s="1"/>
  <c r="Y22" i="3"/>
  <c r="AJ38" i="8"/>
  <c r="AI23" i="3"/>
  <c r="AH13" i="2" s="1"/>
  <c r="BD10" i="7"/>
  <c r="AX12" i="3" s="1"/>
  <c r="AX23" i="3" s="1"/>
  <c r="AW13" i="2" s="1"/>
  <c r="AH23" i="3"/>
  <c r="AG13" i="2" s="1"/>
  <c r="W23" i="3"/>
  <c r="V13" i="2" s="1"/>
  <c r="AJ23" i="3"/>
  <c r="AI13" i="2" s="1"/>
  <c r="AF23" i="3"/>
  <c r="AD13" i="2" s="1"/>
  <c r="U23" i="3"/>
  <c r="T13" i="2" s="1"/>
  <c r="V23" i="3"/>
  <c r="U13" i="2" s="1"/>
  <c r="BC10" i="7"/>
  <c r="AW12" i="3" s="1"/>
  <c r="BH10" i="7"/>
  <c r="BB12" i="3" s="1"/>
  <c r="BB23" i="3" s="1"/>
  <c r="BA13" i="2" s="1"/>
  <c r="X23" i="3"/>
  <c r="W13" i="2" s="1"/>
  <c r="AD22" i="3"/>
  <c r="BJ10" i="7"/>
  <c r="BD12" i="3" s="1"/>
  <c r="BD23" i="3" s="1"/>
  <c r="BC13" i="2" s="1"/>
  <c r="AW32" i="7"/>
  <c r="BJ32" i="7" s="1"/>
  <c r="BJ69" i="7" s="1"/>
  <c r="AR17" i="7"/>
  <c r="BE17" i="7" s="1"/>
  <c r="BE54" i="7" s="1"/>
  <c r="BG9" i="7"/>
  <c r="BA11" i="3" s="1"/>
  <c r="U121" i="7"/>
  <c r="T44" i="8" s="1"/>
  <c r="AJ105" i="7"/>
  <c r="AI28" i="8" s="1"/>
  <c r="AW34" i="7"/>
  <c r="AT16" i="7"/>
  <c r="AW19" i="7"/>
  <c r="AW56" i="7" s="1"/>
  <c r="BJ9" i="7"/>
  <c r="BD11" i="3" s="1"/>
  <c r="AJ109" i="7"/>
  <c r="AW23" i="7"/>
  <c r="BJ23" i="7" s="1"/>
  <c r="BJ60" i="7" s="1"/>
  <c r="AU24" i="7"/>
  <c r="AU61" i="7" s="1"/>
  <c r="BH9" i="7"/>
  <c r="BB11" i="3" s="1"/>
  <c r="X80" i="7"/>
  <c r="BG10" i="7"/>
  <c r="BA12" i="3" s="1"/>
  <c r="BA23" i="3" s="1"/>
  <c r="AZ13" i="2" s="1"/>
  <c r="N11" i="8"/>
  <c r="O122" i="7"/>
  <c r="U10" i="8"/>
  <c r="V121" i="7"/>
  <c r="U44" i="8" s="1"/>
  <c r="N13" i="8"/>
  <c r="O124" i="7"/>
  <c r="X124" i="7" s="1"/>
  <c r="AD121" i="7"/>
  <c r="AD128" i="7" s="1"/>
  <c r="P12" i="8"/>
  <c r="Q123" i="7"/>
  <c r="O12" i="8"/>
  <c r="P123" i="7"/>
  <c r="AI124" i="7"/>
  <c r="AI131" i="7" s="1"/>
  <c r="T125" i="7"/>
  <c r="T128" i="7"/>
  <c r="N125" i="7"/>
  <c r="N128" i="7"/>
  <c r="L128" i="7"/>
  <c r="L131" i="7"/>
  <c r="AE11" i="3"/>
  <c r="AF11" i="3"/>
  <c r="AF12" i="2" s="1"/>
  <c r="Q128" i="7"/>
  <c r="P11" i="8"/>
  <c r="Q122" i="7"/>
  <c r="R11" i="8"/>
  <c r="S122" i="7"/>
  <c r="N12" i="8"/>
  <c r="O123" i="7"/>
  <c r="BP12" i="3"/>
  <c r="BP23" i="3" s="1"/>
  <c r="BO13" i="2" s="1"/>
  <c r="AZ10" i="7"/>
  <c r="AT12" i="3" s="1"/>
  <c r="AG12" i="3"/>
  <c r="Q10" i="8"/>
  <c r="R121" i="7"/>
  <c r="Q44" i="8" s="1"/>
  <c r="AZ9" i="7"/>
  <c r="AT11" i="3" s="1"/>
  <c r="AG11" i="3"/>
  <c r="AG22" i="3" s="1"/>
  <c r="S12" i="2"/>
  <c r="R10" i="8"/>
  <c r="S121" i="7"/>
  <c r="R44" i="8" s="1"/>
  <c r="U12" i="8"/>
  <c r="V123" i="7"/>
  <c r="K12" i="8"/>
  <c r="L123" i="7"/>
  <c r="K46" i="8" s="1"/>
  <c r="L129" i="7"/>
  <c r="N10" i="8"/>
  <c r="O121" i="7"/>
  <c r="N44" i="8" s="1"/>
  <c r="BF10" i="7"/>
  <c r="AZ12" i="3" s="1"/>
  <c r="AZ23" i="3" s="1"/>
  <c r="AY13" i="2" s="1"/>
  <c r="AM12" i="3"/>
  <c r="AM23" i="3" s="1"/>
  <c r="AL13" i="2" s="1"/>
  <c r="T12" i="8"/>
  <c r="U123" i="7"/>
  <c r="P128" i="7"/>
  <c r="AE12" i="3"/>
  <c r="W125" i="7"/>
  <c r="W128" i="7"/>
  <c r="M125" i="7"/>
  <c r="M128" i="7"/>
  <c r="S23" i="3"/>
  <c r="Q13" i="2" s="1"/>
  <c r="AT22" i="7"/>
  <c r="AT18" i="7"/>
  <c r="AT55" i="7" s="1"/>
  <c r="AU98" i="7"/>
  <c r="AT21" i="8" s="1"/>
  <c r="AA111" i="7"/>
  <c r="Z34" i="8" s="1"/>
  <c r="AP115" i="7"/>
  <c r="AO38" i="8" s="1"/>
  <c r="AP97" i="7"/>
  <c r="AO20" i="8" s="1"/>
  <c r="BH26" i="7"/>
  <c r="W35" i="8"/>
  <c r="BC27" i="7"/>
  <c r="AJ104" i="7"/>
  <c r="AI27" i="8" s="1"/>
  <c r="AK80" i="7"/>
  <c r="X115" i="7"/>
  <c r="AH107" i="7"/>
  <c r="AG30" i="8" s="1"/>
  <c r="AR39" i="7"/>
  <c r="AE107" i="7"/>
  <c r="AD30" i="8" s="1"/>
  <c r="AJ108" i="7"/>
  <c r="AI31" i="8" s="1"/>
  <c r="AB111" i="7"/>
  <c r="AA34" i="8" s="1"/>
  <c r="R117" i="7"/>
  <c r="AV16" i="7"/>
  <c r="AP20" i="7"/>
  <c r="AN39" i="7"/>
  <c r="AO20" i="7"/>
  <c r="BB20" i="7" s="1"/>
  <c r="BB57" i="7" s="1"/>
  <c r="AR21" i="7"/>
  <c r="AT21" i="7"/>
  <c r="W33" i="8"/>
  <c r="AT24" i="7"/>
  <c r="AU22" i="7"/>
  <c r="AW22" i="7"/>
  <c r="W37" i="8"/>
  <c r="AR37" i="7"/>
  <c r="AR109" i="7" s="1"/>
  <c r="AE108" i="7"/>
  <c r="AD31" i="8" s="1"/>
  <c r="AW35" i="7"/>
  <c r="AC111" i="7"/>
  <c r="AB34" i="8" s="1"/>
  <c r="W117" i="7"/>
  <c r="AV24" i="7"/>
  <c r="AV61" i="7" s="1"/>
  <c r="AZ15" i="7"/>
  <c r="AP15" i="7"/>
  <c r="AT15" i="7"/>
  <c r="AT52" i="7" s="1"/>
  <c r="AJ112" i="7"/>
  <c r="AI35" i="8" s="1"/>
  <c r="AJ110" i="7"/>
  <c r="AI33" i="8" s="1"/>
  <c r="L38" i="8"/>
  <c r="W38" i="8" s="1"/>
  <c r="X104" i="7"/>
  <c r="V22" i="3"/>
  <c r="AB12" i="2"/>
  <c r="U22" i="3"/>
  <c r="AC12" i="2"/>
  <c r="W12" i="2"/>
  <c r="R22" i="3"/>
  <c r="R32" i="3" s="1"/>
  <c r="Z111" i="7"/>
  <c r="Y34" i="8" s="1"/>
  <c r="W27" i="8"/>
  <c r="N117" i="7"/>
  <c r="W36" i="8"/>
  <c r="W30" i="8"/>
  <c r="AJ107" i="7"/>
  <c r="AI30" i="8" s="1"/>
  <c r="X78" i="7"/>
  <c r="AW115" i="7"/>
  <c r="AV38" i="8" s="1"/>
  <c r="X114" i="7"/>
  <c r="X79" i="7"/>
  <c r="BJ43" i="7"/>
  <c r="BJ80" i="7" s="1"/>
  <c r="X111" i="7"/>
  <c r="AX43" i="7"/>
  <c r="AP98" i="7"/>
  <c r="AO21" i="8" s="1"/>
  <c r="T117" i="7"/>
  <c r="AW17" i="7"/>
  <c r="AM17" i="7"/>
  <c r="P117" i="7"/>
  <c r="AY10" i="7"/>
  <c r="AS12" i="3" s="1"/>
  <c r="AS23" i="3" s="1"/>
  <c r="AQ13" i="2" s="1"/>
  <c r="AM19" i="7"/>
  <c r="AT23" i="7"/>
  <c r="AT60" i="7" s="1"/>
  <c r="O117" i="7"/>
  <c r="AW24" i="7"/>
  <c r="AW61" i="7" s="1"/>
  <c r="L117" i="7"/>
  <c r="V117" i="7"/>
  <c r="M117" i="7"/>
  <c r="X113" i="7"/>
  <c r="W22" i="8"/>
  <c r="AX10" i="7"/>
  <c r="X94" i="7"/>
  <c r="X105" i="7"/>
  <c r="X110" i="7"/>
  <c r="F13" i="2"/>
  <c r="R23" i="3"/>
  <c r="R33" i="3" s="1"/>
  <c r="AI22" i="3"/>
  <c r="AI12" i="2"/>
  <c r="AL22" i="3"/>
  <c r="AL12" i="2"/>
  <c r="AN22" i="3"/>
  <c r="AN12" i="2"/>
  <c r="AJ22" i="3"/>
  <c r="AJ12" i="2"/>
  <c r="AK22" i="3"/>
  <c r="AK12" i="2"/>
  <c r="AQ22" i="3"/>
  <c r="AQ12" i="2"/>
  <c r="AO22" i="3"/>
  <c r="AO12" i="2"/>
  <c r="AM22" i="3"/>
  <c r="AM12" i="2"/>
  <c r="AP22" i="3"/>
  <c r="AP12" i="2"/>
  <c r="AH22" i="3"/>
  <c r="AH12" i="2"/>
  <c r="AQ37" i="7"/>
  <c r="AQ74" i="7" s="1"/>
  <c r="AD109" i="7"/>
  <c r="Y103" i="7"/>
  <c r="X26" i="8" s="1"/>
  <c r="AL109" i="7"/>
  <c r="AQ41" i="7"/>
  <c r="AQ78" i="7" s="1"/>
  <c r="AD113" i="7"/>
  <c r="AC36" i="8" s="1"/>
  <c r="AZ26" i="7"/>
  <c r="AZ63" i="7" s="1"/>
  <c r="AM98" i="7"/>
  <c r="AL21" i="8" s="1"/>
  <c r="BF39" i="7"/>
  <c r="BF76" i="7" s="1"/>
  <c r="AS111" i="7"/>
  <c r="AR34" i="8" s="1"/>
  <c r="AK98" i="7"/>
  <c r="AJ21" i="8"/>
  <c r="BG35" i="7"/>
  <c r="BG72" i="7" s="1"/>
  <c r="AT107" i="7"/>
  <c r="AS30" i="8" s="1"/>
  <c r="AZ36" i="7"/>
  <c r="AZ73" i="7" s="1"/>
  <c r="AM108" i="7"/>
  <c r="AL31" i="8" s="1"/>
  <c r="BF35" i="7"/>
  <c r="BF72" i="7" s="1"/>
  <c r="AS107" i="7"/>
  <c r="AR30" i="8" s="1"/>
  <c r="BT43" i="7"/>
  <c r="BT80" i="7" s="1"/>
  <c r="BG115" i="7"/>
  <c r="BF38" i="8" s="1"/>
  <c r="BI39" i="7"/>
  <c r="BI76" i="7" s="1"/>
  <c r="AV111" i="7"/>
  <c r="AU34" i="8" s="1"/>
  <c r="BF25" i="7"/>
  <c r="BF62" i="7" s="1"/>
  <c r="AS97" i="7"/>
  <c r="AR20" i="8" s="1"/>
  <c r="BD19" i="7"/>
  <c r="BD56" i="7" s="1"/>
  <c r="AQ91" i="7"/>
  <c r="AP14" i="8" s="1"/>
  <c r="BH20" i="7"/>
  <c r="BH57" i="7" s="1"/>
  <c r="AU92" i="7"/>
  <c r="AT15" i="8" s="1"/>
  <c r="BR25" i="7"/>
  <c r="BR62" i="7" s="1"/>
  <c r="BE97" i="7"/>
  <c r="BD20" i="8" s="1"/>
  <c r="BU25" i="7"/>
  <c r="BU62" i="7" s="1"/>
  <c r="BH97" i="7"/>
  <c r="BG20" i="8" s="1"/>
  <c r="BA37" i="7"/>
  <c r="BA74" i="7" s="1"/>
  <c r="AN109" i="7"/>
  <c r="BD36" i="7"/>
  <c r="BD73" i="7" s="1"/>
  <c r="AQ108" i="7"/>
  <c r="AP31" i="8" s="1"/>
  <c r="BO9" i="7"/>
  <c r="BI11" i="3" s="1"/>
  <c r="BM43" i="7"/>
  <c r="BM80" i="7" s="1"/>
  <c r="AZ115" i="7"/>
  <c r="AY38" i="8" s="1"/>
  <c r="BG40" i="7"/>
  <c r="BG77" i="7" s="1"/>
  <c r="AT112" i="7"/>
  <c r="AS35" i="8" s="1"/>
  <c r="BG38" i="7"/>
  <c r="BG75" i="7" s="1"/>
  <c r="AT110" i="7"/>
  <c r="AS33" i="8" s="1"/>
  <c r="BF36" i="7"/>
  <c r="BF73" i="7" s="1"/>
  <c r="AS108" i="7"/>
  <c r="AR31" i="8" s="1"/>
  <c r="BE40" i="7"/>
  <c r="BE77" i="7" s="1"/>
  <c r="AR112" i="7"/>
  <c r="AQ35" i="8" s="1"/>
  <c r="BD38" i="7"/>
  <c r="BD75" i="7" s="1"/>
  <c r="AQ110" i="7"/>
  <c r="AP33" i="8" s="1"/>
  <c r="BC35" i="7"/>
  <c r="BC72" i="7" s="1"/>
  <c r="AP107" i="7"/>
  <c r="AO30" i="8" s="1"/>
  <c r="BB31" i="7"/>
  <c r="BB68" i="7" s="1"/>
  <c r="AO103" i="7"/>
  <c r="AN26" i="8" s="1"/>
  <c r="AZ38" i="7"/>
  <c r="AZ75" i="7" s="1"/>
  <c r="AM110" i="7"/>
  <c r="AL33" i="8" s="1"/>
  <c r="BF40" i="7"/>
  <c r="BF77" i="7" s="1"/>
  <c r="AS112" i="7"/>
  <c r="AR35" i="8" s="1"/>
  <c r="BC33" i="7"/>
  <c r="BC70" i="7" s="1"/>
  <c r="AP105" i="7"/>
  <c r="AO28" i="8" s="1"/>
  <c r="AI81" i="7"/>
  <c r="AC10" i="3" s="1"/>
  <c r="BV43" i="7"/>
  <c r="BV80" i="7" s="1"/>
  <c r="BI115" i="7"/>
  <c r="BH38" i="8" s="1"/>
  <c r="BP9" i="7"/>
  <c r="BJ11" i="3" s="1"/>
  <c r="AZ32" i="7"/>
  <c r="AZ69" i="7" s="1"/>
  <c r="AM104" i="7"/>
  <c r="AL27" i="8" s="1"/>
  <c r="BE38" i="7"/>
  <c r="BE75" i="7" s="1"/>
  <c r="AR110" i="7"/>
  <c r="AQ33" i="8" s="1"/>
  <c r="BD32" i="7"/>
  <c r="BD69" i="7" s="1"/>
  <c r="AQ104" i="7"/>
  <c r="AP27" i="8" s="1"/>
  <c r="Y91" i="7"/>
  <c r="X14" i="8" s="1"/>
  <c r="Y108" i="7"/>
  <c r="X31" i="8" s="1"/>
  <c r="BF26" i="7"/>
  <c r="BF63" i="7" s="1"/>
  <c r="AS98" i="7"/>
  <c r="AR21" i="8" s="1"/>
  <c r="BS43" i="7"/>
  <c r="BS80" i="7" s="1"/>
  <c r="BF115" i="7"/>
  <c r="BE38" i="8" s="1"/>
  <c r="BF32" i="7"/>
  <c r="BF69" i="7" s="1"/>
  <c r="AS104" i="7"/>
  <c r="AR27" i="8" s="1"/>
  <c r="BI35" i="7"/>
  <c r="BI72" i="7" s="1"/>
  <c r="AV107" i="7"/>
  <c r="AU30" i="8" s="1"/>
  <c r="BN27" i="7"/>
  <c r="BN64" i="7" s="1"/>
  <c r="BA99" i="7"/>
  <c r="AZ22" i="8" s="1"/>
  <c r="BG39" i="7"/>
  <c r="BG76" i="7" s="1"/>
  <c r="AT111" i="7"/>
  <c r="AS34" i="8" s="1"/>
  <c r="BB27" i="7"/>
  <c r="BB64" i="7" s="1"/>
  <c r="AO99" i="7"/>
  <c r="AN22" i="8" s="1"/>
  <c r="BH19" i="7"/>
  <c r="BH56" i="7" s="1"/>
  <c r="AU91" i="7"/>
  <c r="AT14" i="8" s="1"/>
  <c r="BH15" i="7"/>
  <c r="BH52" i="7" s="1"/>
  <c r="AU87" i="7"/>
  <c r="AT10" i="8" s="1"/>
  <c r="BG17" i="7"/>
  <c r="BG54" i="7" s="1"/>
  <c r="AT89" i="7"/>
  <c r="AS12" i="8" s="1"/>
  <c r="BB26" i="7"/>
  <c r="BB63" i="7" s="1"/>
  <c r="AO98" i="7"/>
  <c r="AN21" i="8" s="1"/>
  <c r="AZ25" i="7"/>
  <c r="AZ62" i="7" s="1"/>
  <c r="AM97" i="7"/>
  <c r="AL20" i="8" s="1"/>
  <c r="AL110" i="7"/>
  <c r="AK33" i="8" s="1"/>
  <c r="BE20" i="7"/>
  <c r="BE57" i="7" s="1"/>
  <c r="AR92" i="7"/>
  <c r="AQ15" i="8" s="1"/>
  <c r="BA18" i="7"/>
  <c r="BA55" i="7" s="1"/>
  <c r="AN90" i="7"/>
  <c r="AM13" i="8" s="1"/>
  <c r="BI22" i="7"/>
  <c r="BI59" i="7" s="1"/>
  <c r="AV94" i="7"/>
  <c r="AU17" i="8" s="1"/>
  <c r="BC23" i="7"/>
  <c r="BC60" i="7" s="1"/>
  <c r="AP95" i="7"/>
  <c r="AO18" i="8" s="1"/>
  <c r="BH21" i="7"/>
  <c r="BH58" i="7" s="1"/>
  <c r="AU93" i="7"/>
  <c r="BJ21" i="7"/>
  <c r="BJ58" i="7" s="1"/>
  <c r="AW93" i="7"/>
  <c r="BG20" i="7"/>
  <c r="BG57" i="7" s="1"/>
  <c r="AT92" i="7"/>
  <c r="AS15" i="8" s="1"/>
  <c r="BJ20" i="7"/>
  <c r="BJ57" i="7" s="1"/>
  <c r="AW92" i="7"/>
  <c r="AV15" i="8" s="1"/>
  <c r="BC38" i="7"/>
  <c r="BC75" i="7" s="1"/>
  <c r="AP110" i="7"/>
  <c r="AO33" i="8" s="1"/>
  <c r="BB38" i="7"/>
  <c r="BB75" i="7" s="1"/>
  <c r="AO110" i="7"/>
  <c r="AN33" i="8" s="1"/>
  <c r="AL99" i="7"/>
  <c r="AK22" i="8" s="1"/>
  <c r="Y95" i="7"/>
  <c r="X18" i="8" s="1"/>
  <c r="AQ35" i="7"/>
  <c r="AQ72" i="7" s="1"/>
  <c r="AD107" i="7"/>
  <c r="AC30" i="8" s="1"/>
  <c r="AU33" i="7"/>
  <c r="AU70" i="7" s="1"/>
  <c r="AH105" i="7"/>
  <c r="AG28" i="8" s="1"/>
  <c r="AU40" i="7"/>
  <c r="AH112" i="7"/>
  <c r="AG35" i="8" s="1"/>
  <c r="AK64" i="7"/>
  <c r="AY115" i="7"/>
  <c r="AX38" i="8" s="1"/>
  <c r="BF27" i="7"/>
  <c r="BF64" i="7" s="1"/>
  <c r="AS99" i="7"/>
  <c r="AR22" i="8" s="1"/>
  <c r="AQ39" i="7"/>
  <c r="AQ76" i="7" s="1"/>
  <c r="AD111" i="7"/>
  <c r="AC34" i="8" s="1"/>
  <c r="AU38" i="7"/>
  <c r="AH110" i="7"/>
  <c r="AG33" i="8" s="1"/>
  <c r="AU31" i="7"/>
  <c r="AU68" i="7" s="1"/>
  <c r="AH103" i="7"/>
  <c r="AG26" i="8" s="1"/>
  <c r="AK38" i="7"/>
  <c r="Y113" i="7"/>
  <c r="X36" i="8" s="1"/>
  <c r="BD26" i="7"/>
  <c r="BD63" i="7" s="1"/>
  <c r="AQ98" i="7"/>
  <c r="AP21" i="8" s="1"/>
  <c r="BI27" i="7"/>
  <c r="BI64" i="7" s="1"/>
  <c r="AV99" i="7"/>
  <c r="AU22" i="8" s="1"/>
  <c r="BD25" i="7"/>
  <c r="BD62" i="7" s="1"/>
  <c r="AQ97" i="7"/>
  <c r="AP20" i="8" s="1"/>
  <c r="BS9" i="7"/>
  <c r="BM11" i="3" s="1"/>
  <c r="BB115" i="7"/>
  <c r="BA38" i="8" s="1"/>
  <c r="BI36" i="7"/>
  <c r="BI73" i="7" s="1"/>
  <c r="AV108" i="7"/>
  <c r="AU31" i="8" s="1"/>
  <c r="BE34" i="7"/>
  <c r="BE71" i="7" s="1"/>
  <c r="AR106" i="7"/>
  <c r="AQ29" i="8" s="1"/>
  <c r="BB35" i="7"/>
  <c r="BB72" i="7" s="1"/>
  <c r="AO107" i="7"/>
  <c r="AN30" i="8" s="1"/>
  <c r="BV41" i="7"/>
  <c r="BV78" i="7" s="1"/>
  <c r="BI113" i="7"/>
  <c r="BH36" i="8" s="1"/>
  <c r="BD31" i="7"/>
  <c r="BD68" i="7" s="1"/>
  <c r="AQ103" i="7"/>
  <c r="AP26" i="8" s="1"/>
  <c r="BC34" i="7"/>
  <c r="BC71" i="7" s="1"/>
  <c r="AP106" i="7"/>
  <c r="AO29" i="8" s="1"/>
  <c r="BB32" i="7"/>
  <c r="BB69" i="7" s="1"/>
  <c r="AO104" i="7"/>
  <c r="AN27" i="8" s="1"/>
  <c r="AG81" i="7"/>
  <c r="AA10" i="3" s="1"/>
  <c r="AZ39" i="7"/>
  <c r="AZ76" i="7" s="1"/>
  <c r="BI34" i="7"/>
  <c r="BI71" i="7" s="1"/>
  <c r="AV106" i="7"/>
  <c r="AU29" i="8" s="1"/>
  <c r="BA35" i="7"/>
  <c r="BA72" i="7" s="1"/>
  <c r="AN107" i="7"/>
  <c r="AM30" i="8" s="1"/>
  <c r="BG33" i="7"/>
  <c r="BG70" i="7" s="1"/>
  <c r="AT105" i="7"/>
  <c r="AS28" i="8" s="1"/>
  <c r="BJ31" i="7"/>
  <c r="BJ68" i="7" s="1"/>
  <c r="AW103" i="7"/>
  <c r="AV26" i="8" s="1"/>
  <c r="AK99" i="7"/>
  <c r="AJ22" i="8"/>
  <c r="BA33" i="7"/>
  <c r="BA70" i="7" s="1"/>
  <c r="AN105" i="7"/>
  <c r="AM28" i="8" s="1"/>
  <c r="AZ33" i="7"/>
  <c r="AZ70" i="7" s="1"/>
  <c r="AM105" i="7"/>
  <c r="AL28" i="8" s="1"/>
  <c r="BA34" i="7"/>
  <c r="BA71" i="7" s="1"/>
  <c r="AN106" i="7"/>
  <c r="AM29" i="8" s="1"/>
  <c r="BG36" i="7"/>
  <c r="BG73" i="7" s="1"/>
  <c r="AT108" i="7"/>
  <c r="AS31" i="8" s="1"/>
  <c r="AK97" i="7"/>
  <c r="AJ20" i="8"/>
  <c r="BN41" i="7"/>
  <c r="BN78" i="7" s="1"/>
  <c r="BA113" i="7"/>
  <c r="AZ36" i="8" s="1"/>
  <c r="BC32" i="7"/>
  <c r="BC69" i="7" s="1"/>
  <c r="AP104" i="7"/>
  <c r="AO27" i="8" s="1"/>
  <c r="BB36" i="7"/>
  <c r="BB73" i="7" s="1"/>
  <c r="AO108" i="7"/>
  <c r="AN31" i="8" s="1"/>
  <c r="BT42" i="7"/>
  <c r="BT79" i="7" s="1"/>
  <c r="BG114" i="7"/>
  <c r="BF37" i="8" s="1"/>
  <c r="BR43" i="7"/>
  <c r="BR80" i="7" s="1"/>
  <c r="BE115" i="7"/>
  <c r="BD38" i="8" s="1"/>
  <c r="BR42" i="7"/>
  <c r="BR79" i="7" s="1"/>
  <c r="BE114" i="7"/>
  <c r="BD37" i="8" s="1"/>
  <c r="BD34" i="7"/>
  <c r="BD71" i="7" s="1"/>
  <c r="AQ106" i="7"/>
  <c r="AP29" i="8" s="1"/>
  <c r="BE32" i="7"/>
  <c r="BE69" i="7" s="1"/>
  <c r="AR104" i="7"/>
  <c r="AQ27" i="8" s="1"/>
  <c r="BI37" i="7"/>
  <c r="BI74" i="7" s="1"/>
  <c r="AV109" i="7"/>
  <c r="BJ38" i="7"/>
  <c r="BJ75" i="7" s="1"/>
  <c r="Y94" i="7"/>
  <c r="X17" i="8" s="1"/>
  <c r="Y106" i="7"/>
  <c r="X29" i="8" s="1"/>
  <c r="BB25" i="7"/>
  <c r="BB62" i="7" s="1"/>
  <c r="AO97" i="7"/>
  <c r="AN20" i="8" s="1"/>
  <c r="AQ33" i="7"/>
  <c r="AD105" i="7"/>
  <c r="AC28" i="8" s="1"/>
  <c r="AL107" i="7"/>
  <c r="AK30" i="8" s="1"/>
  <c r="BG25" i="7"/>
  <c r="BG62" i="7" s="1"/>
  <c r="AT97" i="7"/>
  <c r="AS20" i="8" s="1"/>
  <c r="BR41" i="7"/>
  <c r="BR78" i="7" s="1"/>
  <c r="BE113" i="7"/>
  <c r="BD36" i="8" s="1"/>
  <c r="BB34" i="7"/>
  <c r="BB71" i="7" s="1"/>
  <c r="AO106" i="7"/>
  <c r="AN29" i="8" s="1"/>
  <c r="BS41" i="7"/>
  <c r="BS78" i="7" s="1"/>
  <c r="BF113" i="7"/>
  <c r="BE36" i="8" s="1"/>
  <c r="BN42" i="7"/>
  <c r="BN79" i="7" s="1"/>
  <c r="BA114" i="7"/>
  <c r="AZ37" i="8" s="1"/>
  <c r="BG32" i="7"/>
  <c r="BG69" i="7" s="1"/>
  <c r="AT104" i="7"/>
  <c r="AS27" i="8" s="1"/>
  <c r="BG31" i="7"/>
  <c r="BG68" i="7" s="1"/>
  <c r="AT103" i="7"/>
  <c r="AS26" i="8" s="1"/>
  <c r="BA38" i="7"/>
  <c r="BA75" i="7" s="1"/>
  <c r="AN110" i="7"/>
  <c r="AM33" i="8" s="1"/>
  <c r="BE31" i="7"/>
  <c r="BE68" i="7" s="1"/>
  <c r="AR103" i="7"/>
  <c r="AQ26" i="8" s="1"/>
  <c r="AR108" i="7"/>
  <c r="AQ31" i="8" s="1"/>
  <c r="BF37" i="7"/>
  <c r="BF74" i="7" s="1"/>
  <c r="AS109" i="7"/>
  <c r="AY23" i="3"/>
  <c r="AX13" i="2" s="1"/>
  <c r="BN25" i="7"/>
  <c r="BN62" i="7" s="1"/>
  <c r="BA97" i="7"/>
  <c r="AZ20" i="8" s="1"/>
  <c r="AZ34" i="7"/>
  <c r="AZ71" i="7" s="1"/>
  <c r="AM106" i="7"/>
  <c r="AL29" i="8" s="1"/>
  <c r="AL98" i="7"/>
  <c r="AK21" i="8" s="1"/>
  <c r="Y87" i="7"/>
  <c r="AL96" i="7"/>
  <c r="AK19" i="8" s="1"/>
  <c r="BG27" i="7"/>
  <c r="BG64" i="7" s="1"/>
  <c r="AT99" i="7"/>
  <c r="AS22" i="8" s="1"/>
  <c r="BE24" i="7"/>
  <c r="BE61" i="7" s="1"/>
  <c r="AR96" i="7"/>
  <c r="AQ19" i="8" s="1"/>
  <c r="BA22" i="7"/>
  <c r="BA59" i="7" s="1"/>
  <c r="AN94" i="7"/>
  <c r="AM17" i="8" s="1"/>
  <c r="BI20" i="7"/>
  <c r="BI57" i="7" s="1"/>
  <c r="AV92" i="7"/>
  <c r="AU15" i="8" s="1"/>
  <c r="BE15" i="7"/>
  <c r="BE52" i="7" s="1"/>
  <c r="AR87" i="7"/>
  <c r="AQ10" i="8" s="1"/>
  <c r="BD18" i="7"/>
  <c r="BD55" i="7" s="1"/>
  <c r="AQ90" i="7"/>
  <c r="AP13" i="8" s="1"/>
  <c r="BC22" i="7"/>
  <c r="BC59" i="7" s="1"/>
  <c r="AP94" i="7"/>
  <c r="AO17" i="8" s="1"/>
  <c r="BB24" i="7"/>
  <c r="BB61" i="7" s="1"/>
  <c r="AO96" i="7"/>
  <c r="AN19" i="8" s="1"/>
  <c r="BC21" i="7"/>
  <c r="BC58" i="7" s="1"/>
  <c r="AP93" i="7"/>
  <c r="BF17" i="7"/>
  <c r="BF54" i="7" s="1"/>
  <c r="AS89" i="7"/>
  <c r="AR12" i="8" s="1"/>
  <c r="BJ25" i="7"/>
  <c r="BJ62" i="7" s="1"/>
  <c r="AW97" i="7"/>
  <c r="AV20" i="8" s="1"/>
  <c r="AK37" i="7"/>
  <c r="BC24" i="7"/>
  <c r="BC61" i="7" s="1"/>
  <c r="AP96" i="7"/>
  <c r="AO19" i="8" s="1"/>
  <c r="BJ15" i="7"/>
  <c r="BJ52" i="7" s="1"/>
  <c r="AW87" i="7"/>
  <c r="AV10" i="8" s="1"/>
  <c r="BE19" i="7"/>
  <c r="BE56" i="7" s="1"/>
  <c r="AR91" i="7"/>
  <c r="AQ14" i="8" s="1"/>
  <c r="BG19" i="7"/>
  <c r="BG56" i="7" s="1"/>
  <c r="AT91" i="7"/>
  <c r="AS14" i="8" s="1"/>
  <c r="BA24" i="7"/>
  <c r="BA61" i="7" s="1"/>
  <c r="AN96" i="7"/>
  <c r="AM19" i="8" s="1"/>
  <c r="BA23" i="7"/>
  <c r="BA60" i="7" s="1"/>
  <c r="AN95" i="7"/>
  <c r="AM18" i="8" s="1"/>
  <c r="BJ27" i="7"/>
  <c r="BJ64" i="7" s="1"/>
  <c r="AW99" i="7"/>
  <c r="AV22" i="8" s="1"/>
  <c r="AU32" i="7"/>
  <c r="AU69" i="7" s="1"/>
  <c r="AH104" i="7"/>
  <c r="AG27" i="8" s="1"/>
  <c r="AK69" i="7"/>
  <c r="BU43" i="7"/>
  <c r="BU80" i="7" s="1"/>
  <c r="BH115" i="7"/>
  <c r="BG38" i="8" s="1"/>
  <c r="BP43" i="7"/>
  <c r="BP80" i="7" s="1"/>
  <c r="Y89" i="7"/>
  <c r="Y88" i="7"/>
  <c r="Y92" i="7"/>
  <c r="X15" i="8" s="1"/>
  <c r="Y93" i="7"/>
  <c r="AL97" i="7"/>
  <c r="AK20" i="8" s="1"/>
  <c r="BJ26" i="7"/>
  <c r="BJ63" i="7" s="1"/>
  <c r="AW98" i="7"/>
  <c r="AV21" i="8" s="1"/>
  <c r="AZ27" i="7"/>
  <c r="AZ64" i="7" s="1"/>
  <c r="AM99" i="7"/>
  <c r="AL22" i="8" s="1"/>
  <c r="AK62" i="7"/>
  <c r="BE16" i="7"/>
  <c r="BE53" i="7" s="1"/>
  <c r="AR88" i="7"/>
  <c r="AQ11" i="8" s="1"/>
  <c r="BC16" i="7"/>
  <c r="BC53" i="7" s="1"/>
  <c r="AP88" i="7"/>
  <c r="AO11" i="8" s="1"/>
  <c r="BD22" i="7"/>
  <c r="BD59" i="7" s="1"/>
  <c r="AQ94" i="7"/>
  <c r="AP17" i="8" s="1"/>
  <c r="BE23" i="7"/>
  <c r="BE60" i="7" s="1"/>
  <c r="AR95" i="7"/>
  <c r="AQ18" i="8" s="1"/>
  <c r="BH18" i="7"/>
  <c r="BH55" i="7" s="1"/>
  <c r="AU90" i="7"/>
  <c r="AT13" i="8" s="1"/>
  <c r="BA21" i="7"/>
  <c r="BA58" i="7" s="1"/>
  <c r="AN93" i="7"/>
  <c r="BJ18" i="7"/>
  <c r="BJ55" i="7" s="1"/>
  <c r="AW90" i="7"/>
  <c r="AV13" i="8" s="1"/>
  <c r="BH17" i="7"/>
  <c r="BH54" i="7" s="1"/>
  <c r="AU89" i="7"/>
  <c r="AT12" i="8" s="1"/>
  <c r="BA20" i="7"/>
  <c r="BA57" i="7" s="1"/>
  <c r="AN92" i="7"/>
  <c r="AM15" i="8" s="1"/>
  <c r="BF21" i="7"/>
  <c r="BF58" i="7" s="1"/>
  <c r="AS93" i="7"/>
  <c r="BI18" i="7"/>
  <c r="BI55" i="7" s="1"/>
  <c r="AV90" i="7"/>
  <c r="AU13" i="8" s="1"/>
  <c r="BH16" i="7"/>
  <c r="BH53" i="7" s="1"/>
  <c r="AU88" i="7"/>
  <c r="AT11" i="8" s="1"/>
  <c r="BA19" i="7"/>
  <c r="BA56" i="7" s="1"/>
  <c r="AN91" i="7"/>
  <c r="AM14" i="8" s="1"/>
  <c r="BJ16" i="7"/>
  <c r="BJ53" i="7" s="1"/>
  <c r="AW88" i="7"/>
  <c r="AV11" i="8" s="1"/>
  <c r="BI25" i="7"/>
  <c r="BI62" i="7" s="1"/>
  <c r="AV97" i="7"/>
  <c r="AU20" i="8" s="1"/>
  <c r="BG26" i="7"/>
  <c r="BG63" i="7" s="1"/>
  <c r="AT98" i="7"/>
  <c r="AS21" i="8" s="1"/>
  <c r="BD27" i="7"/>
  <c r="BD64" i="7" s="1"/>
  <c r="AQ99" i="7"/>
  <c r="AP22" i="8" s="1"/>
  <c r="AL112" i="7"/>
  <c r="AK35" i="8" s="1"/>
  <c r="BH23" i="7"/>
  <c r="BH60" i="7" s="1"/>
  <c r="AU95" i="7"/>
  <c r="AT18" i="8" s="1"/>
  <c r="BC19" i="7"/>
  <c r="BC56" i="7" s="1"/>
  <c r="AP91" i="7"/>
  <c r="AO14" i="8" s="1"/>
  <c r="AZ16" i="7"/>
  <c r="AZ53" i="7" s="1"/>
  <c r="AM88" i="7"/>
  <c r="AL11" i="8" s="1"/>
  <c r="BC18" i="7"/>
  <c r="BC55" i="7" s="1"/>
  <c r="AP90" i="7"/>
  <c r="AO13" i="8" s="1"/>
  <c r="BF18" i="7"/>
  <c r="BF55" i="7" s="1"/>
  <c r="AS90" i="7"/>
  <c r="AR13" i="8" s="1"/>
  <c r="BE18" i="7"/>
  <c r="BE55" i="7" s="1"/>
  <c r="AR90" i="7"/>
  <c r="AQ13" i="8" s="1"/>
  <c r="BA16" i="7"/>
  <c r="BA53" i="7" s="1"/>
  <c r="AN88" i="7"/>
  <c r="AM11" i="8" s="1"/>
  <c r="AZ23" i="7"/>
  <c r="AZ60" i="7" s="1"/>
  <c r="AM95" i="7"/>
  <c r="AL18" i="8" s="1"/>
  <c r="BC17" i="7"/>
  <c r="BC54" i="7" s="1"/>
  <c r="AP89" i="7"/>
  <c r="AO12" i="8" s="1"/>
  <c r="BA15" i="7"/>
  <c r="BA52" i="7" s="1"/>
  <c r="AN87" i="7"/>
  <c r="AM10" i="8" s="1"/>
  <c r="AZ21" i="7"/>
  <c r="AZ58" i="7" s="1"/>
  <c r="AM93" i="7"/>
  <c r="BI26" i="7"/>
  <c r="BI63" i="7" s="1"/>
  <c r="AV98" i="7"/>
  <c r="AU21" i="8" s="1"/>
  <c r="AK63" i="7"/>
  <c r="Y111" i="7"/>
  <c r="X34" i="8" s="1"/>
  <c r="Y114" i="7"/>
  <c r="X37" i="8" s="1"/>
  <c r="AK79" i="7"/>
  <c r="AL105" i="7"/>
  <c r="AK28" i="8" s="1"/>
  <c r="BT41" i="7"/>
  <c r="BT78" i="7" s="1"/>
  <c r="BG113" i="7"/>
  <c r="BF36" i="8" s="1"/>
  <c r="BN43" i="7"/>
  <c r="BN80" i="7" s="1"/>
  <c r="BA115" i="7"/>
  <c r="AZ38" i="8" s="1"/>
  <c r="BQ43" i="7"/>
  <c r="BQ80" i="7" s="1"/>
  <c r="BD115" i="7"/>
  <c r="BC38" i="8" s="1"/>
  <c r="BR27" i="7"/>
  <c r="BR64" i="7" s="1"/>
  <c r="BE99" i="7"/>
  <c r="BD22" i="8" s="1"/>
  <c r="BN26" i="7"/>
  <c r="BN63" i="7" s="1"/>
  <c r="BA98" i="7"/>
  <c r="AZ21" i="8" s="1"/>
  <c r="BF38" i="7"/>
  <c r="BF75" i="7" s="1"/>
  <c r="AS110" i="7"/>
  <c r="AR33" i="8" s="1"/>
  <c r="BC37" i="7"/>
  <c r="BC74" i="7" s="1"/>
  <c r="AP109" i="7"/>
  <c r="BP42" i="7"/>
  <c r="BP79" i="7" s="1"/>
  <c r="BC114" i="7"/>
  <c r="BB37" i="8" s="1"/>
  <c r="AZ31" i="7"/>
  <c r="AZ68" i="7" s="1"/>
  <c r="AM103" i="7"/>
  <c r="AL26" i="8" s="1"/>
  <c r="BB33" i="7"/>
  <c r="BB70" i="7" s="1"/>
  <c r="AO105" i="7"/>
  <c r="AN28" i="8" s="1"/>
  <c r="BB37" i="7"/>
  <c r="BB74" i="7" s="1"/>
  <c r="AO109" i="7"/>
  <c r="BG34" i="7"/>
  <c r="BG71" i="7" s="1"/>
  <c r="AT106" i="7"/>
  <c r="AS29" i="8" s="1"/>
  <c r="BA36" i="7"/>
  <c r="BA73" i="7" s="1"/>
  <c r="BJ39" i="7"/>
  <c r="BJ76" i="7" s="1"/>
  <c r="AW111" i="7"/>
  <c r="AV34" i="8" s="1"/>
  <c r="BF34" i="7"/>
  <c r="BF71" i="7" s="1"/>
  <c r="AS106" i="7"/>
  <c r="AR29" i="8" s="1"/>
  <c r="BE33" i="7"/>
  <c r="BE70" i="7" s="1"/>
  <c r="AR105" i="7"/>
  <c r="AQ28" i="8" s="1"/>
  <c r="BH36" i="7"/>
  <c r="BH73" i="7" s="1"/>
  <c r="AZ35" i="7"/>
  <c r="AZ72" i="7" s="1"/>
  <c r="AM107" i="7"/>
  <c r="AL30" i="8" s="1"/>
  <c r="AZ40" i="7"/>
  <c r="AZ77" i="7" s="1"/>
  <c r="AM112" i="7"/>
  <c r="AL35" i="8" s="1"/>
  <c r="BG37" i="7"/>
  <c r="BG74" i="7" s="1"/>
  <c r="AT109" i="7"/>
  <c r="BC31" i="7"/>
  <c r="BC68" i="7" s="1"/>
  <c r="AP103" i="7"/>
  <c r="AO26" i="8" s="1"/>
  <c r="BI31" i="7"/>
  <c r="BI68" i="7" s="1"/>
  <c r="AV103" i="7"/>
  <c r="AU26" i="8" s="1"/>
  <c r="AZ113" i="7"/>
  <c r="AY36" i="8" s="1"/>
  <c r="BC36" i="7"/>
  <c r="BC73" i="7" s="1"/>
  <c r="AP108" i="7"/>
  <c r="AO31" i="8" s="1"/>
  <c r="BI32" i="7"/>
  <c r="BI69" i="7" s="1"/>
  <c r="AV104" i="7"/>
  <c r="AU27" i="8" s="1"/>
  <c r="BV42" i="7"/>
  <c r="BV79" i="7" s="1"/>
  <c r="BI114" i="7"/>
  <c r="BH37" i="8" s="1"/>
  <c r="BS42" i="7"/>
  <c r="BS79" i="7" s="1"/>
  <c r="BF114" i="7"/>
  <c r="BE37" i="8" s="1"/>
  <c r="BN10" i="7"/>
  <c r="AU23" i="3"/>
  <c r="AT13" i="2" s="1"/>
  <c r="AO112" i="7"/>
  <c r="AN35" i="8" s="1"/>
  <c r="BI38" i="7"/>
  <c r="BI75" i="7" s="1"/>
  <c r="AV110" i="7"/>
  <c r="AU33" i="8" s="1"/>
  <c r="BH37" i="7"/>
  <c r="BH74" i="7" s="1"/>
  <c r="AU109" i="7"/>
  <c r="W34" i="8"/>
  <c r="W28" i="8"/>
  <c r="AM22" i="7"/>
  <c r="AM59" i="7" s="1"/>
  <c r="AQ15" i="7"/>
  <c r="AQ52" i="7" s="1"/>
  <c r="AQ16" i="7"/>
  <c r="AQ53" i="7" s="1"/>
  <c r="AO21" i="7"/>
  <c r="AO58" i="7" s="1"/>
  <c r="AO19" i="7"/>
  <c r="AO56" i="7" s="1"/>
  <c r="AV23" i="7"/>
  <c r="AV60" i="7" s="1"/>
  <c r="AV19" i="7"/>
  <c r="AV56" i="7" s="1"/>
  <c r="K29" i="8"/>
  <c r="W29" i="8" s="1"/>
  <c r="X106" i="7"/>
  <c r="AK31" i="7"/>
  <c r="AL31" i="7"/>
  <c r="AL68" i="7" s="1"/>
  <c r="AY38" i="7"/>
  <c r="AY75" i="7" s="1"/>
  <c r="AY37" i="7"/>
  <c r="AY74" i="7" s="1"/>
  <c r="X87" i="7"/>
  <c r="AS24" i="7"/>
  <c r="AS61" i="7" s="1"/>
  <c r="AS15" i="7"/>
  <c r="AS52" i="7" s="1"/>
  <c r="AV17" i="7"/>
  <c r="AV54" i="7" s="1"/>
  <c r="AO22" i="7"/>
  <c r="AO59" i="7" s="1"/>
  <c r="AM20" i="7"/>
  <c r="AM57" i="7" s="1"/>
  <c r="AS16" i="7"/>
  <c r="AS53" i="7" s="1"/>
  <c r="AS22" i="7"/>
  <c r="AS59" i="7" s="1"/>
  <c r="AQ24" i="7"/>
  <c r="AQ61" i="7" s="1"/>
  <c r="AO15" i="7"/>
  <c r="AO52" i="7" s="1"/>
  <c r="K26" i="8"/>
  <c r="X103" i="7"/>
  <c r="AY35" i="7"/>
  <c r="AY72" i="7" s="1"/>
  <c r="AK36" i="7"/>
  <c r="AL36" i="7"/>
  <c r="AL73" i="7" s="1"/>
  <c r="X95" i="7"/>
  <c r="S117" i="7"/>
  <c r="X89" i="7"/>
  <c r="AM24" i="7"/>
  <c r="AM61" i="7" s="1"/>
  <c r="AS20" i="7"/>
  <c r="AS57" i="7" s="1"/>
  <c r="AQ23" i="7"/>
  <c r="AQ60" i="7" s="1"/>
  <c r="AO23" i="7"/>
  <c r="AO60" i="7" s="1"/>
  <c r="AM18" i="7"/>
  <c r="AM55" i="7" s="1"/>
  <c r="AO17" i="7"/>
  <c r="AO54" i="7" s="1"/>
  <c r="AK32" i="7"/>
  <c r="AK35" i="7"/>
  <c r="X108" i="7"/>
  <c r="K31" i="8"/>
  <c r="W31" i="8" s="1"/>
  <c r="AK39" i="7"/>
  <c r="AL39" i="7"/>
  <c r="AL76" i="7" s="1"/>
  <c r="AL42" i="7"/>
  <c r="AL79" i="7" s="1"/>
  <c r="AK42" i="7"/>
  <c r="AY33" i="7"/>
  <c r="AY70" i="7" s="1"/>
  <c r="X91" i="7"/>
  <c r="AO16" i="7"/>
  <c r="AO53" i="7" s="1"/>
  <c r="AQ20" i="7"/>
  <c r="AQ57" i="7" s="1"/>
  <c r="AV15" i="7"/>
  <c r="AV52" i="7" s="1"/>
  <c r="AO18" i="7"/>
  <c r="AO55" i="7" s="1"/>
  <c r="AQ21" i="7"/>
  <c r="AQ58" i="7" s="1"/>
  <c r="AS23" i="7"/>
  <c r="AS60" i="7" s="1"/>
  <c r="X107" i="7"/>
  <c r="AQ17" i="7"/>
  <c r="AQ54" i="7" s="1"/>
  <c r="AS19" i="7"/>
  <c r="AS56" i="7" s="1"/>
  <c r="AV21" i="7"/>
  <c r="AV58" i="7" s="1"/>
  <c r="AK34" i="7"/>
  <c r="AL34" i="7"/>
  <c r="AL71" i="7" s="1"/>
  <c r="BL43" i="7"/>
  <c r="BL80" i="7" s="1"/>
  <c r="AE65" i="7"/>
  <c r="Y9" i="3" s="1"/>
  <c r="T26" i="8"/>
  <c r="U117" i="7"/>
  <c r="AK40" i="7"/>
  <c r="AA65" i="7"/>
  <c r="U9" i="3" s="1"/>
  <c r="AL41" i="7"/>
  <c r="AL78" i="7" s="1"/>
  <c r="AK41" i="7"/>
  <c r="X112" i="7"/>
  <c r="AK33" i="7"/>
  <c r="AY26" i="7"/>
  <c r="AY63" i="7" s="1"/>
  <c r="AX26" i="7"/>
  <c r="AK15" i="7"/>
  <c r="AL15" i="7"/>
  <c r="AL52" i="7" s="1"/>
  <c r="AK24" i="7"/>
  <c r="AL22" i="7"/>
  <c r="AL59" i="7" s="1"/>
  <c r="AK22" i="7"/>
  <c r="AK20" i="7"/>
  <c r="AL20" i="7"/>
  <c r="AL57" i="7" s="1"/>
  <c r="AL21" i="7"/>
  <c r="AL58" i="7" s="1"/>
  <c r="AK21" i="7"/>
  <c r="AK18" i="7"/>
  <c r="AY24" i="7"/>
  <c r="AY61" i="7" s="1"/>
  <c r="L19" i="8"/>
  <c r="X96" i="7"/>
  <c r="L13" i="8"/>
  <c r="X90" i="7"/>
  <c r="K15" i="8"/>
  <c r="X92" i="7"/>
  <c r="X93" i="7"/>
  <c r="AX25" i="7"/>
  <c r="AY25" i="7"/>
  <c r="AY62" i="7" s="1"/>
  <c r="AX9" i="7"/>
  <c r="AY9" i="7"/>
  <c r="AL17" i="7"/>
  <c r="AL54" i="7" s="1"/>
  <c r="AK17" i="7"/>
  <c r="AL16" i="7"/>
  <c r="AL53" i="7" s="1"/>
  <c r="AK16" i="7"/>
  <c r="AY27" i="7"/>
  <c r="AY64" i="7" s="1"/>
  <c r="AX27" i="7"/>
  <c r="AL23" i="7"/>
  <c r="AL60" i="7" s="1"/>
  <c r="AK23" i="7"/>
  <c r="AL19" i="7"/>
  <c r="AL56" i="7" s="1"/>
  <c r="AK19" i="7"/>
  <c r="K11" i="8"/>
  <c r="X88" i="7"/>
  <c r="P10" i="8"/>
  <c r="Q117" i="7"/>
  <c r="X99" i="7"/>
  <c r="X63" i="7"/>
  <c r="K20" i="8"/>
  <c r="W20" i="8" s="1"/>
  <c r="X97" i="7"/>
  <c r="K21" i="8"/>
  <c r="W21" i="8" s="1"/>
  <c r="X98" i="7"/>
  <c r="X62" i="7"/>
  <c r="X64" i="7"/>
  <c r="B6" i="14"/>
  <c r="B8" i="14"/>
  <c r="B30" i="17"/>
  <c r="N29" i="17"/>
  <c r="B29" i="17"/>
  <c r="K27" i="17"/>
  <c r="K26" i="17"/>
  <c r="K25" i="17"/>
  <c r="K24" i="17"/>
  <c r="K23" i="17"/>
  <c r="K22" i="17"/>
  <c r="B22" i="17"/>
  <c r="K21" i="17"/>
  <c r="B20" i="17"/>
  <c r="C15" i="17"/>
  <c r="B15" i="17"/>
  <c r="E8" i="17"/>
  <c r="D8" i="17"/>
  <c r="C8" i="17"/>
  <c r="B8" i="17"/>
  <c r="E7" i="17"/>
  <c r="D7" i="17"/>
  <c r="C7" i="17"/>
  <c r="B7" i="17"/>
  <c r="D6" i="17"/>
  <c r="B6" i="17"/>
  <c r="E5" i="17"/>
  <c r="D5" i="17"/>
  <c r="C5" i="17"/>
  <c r="B5" i="17"/>
  <c r="E4" i="17"/>
  <c r="D4" i="17"/>
  <c r="C4" i="17"/>
  <c r="B4" i="17"/>
  <c r="B163" i="16"/>
  <c r="B162" i="16"/>
  <c r="B161" i="16"/>
  <c r="B160" i="16"/>
  <c r="B159" i="16"/>
  <c r="B158" i="16"/>
  <c r="B157" i="16"/>
  <c r="B156" i="16"/>
  <c r="A155" i="16"/>
  <c r="B155" i="16" s="1"/>
  <c r="B119" i="16"/>
  <c r="C118" i="16"/>
  <c r="D118" i="16" s="1"/>
  <c r="C117" i="16"/>
  <c r="D117" i="16" s="1"/>
  <c r="D116" i="16"/>
  <c r="D115" i="16"/>
  <c r="C114" i="16"/>
  <c r="D114" i="16" s="1"/>
  <c r="C113" i="16"/>
  <c r="D113" i="16" s="1"/>
  <c r="F112" i="16"/>
  <c r="C112" i="16"/>
  <c r="D112" i="16" s="1"/>
  <c r="F111" i="16"/>
  <c r="C111" i="16"/>
  <c r="D111" i="16" s="1"/>
  <c r="F110" i="16"/>
  <c r="C110" i="16"/>
  <c r="D110" i="16" s="1"/>
  <c r="F109" i="16"/>
  <c r="D109" i="16"/>
  <c r="C109" i="16"/>
  <c r="F108" i="16"/>
  <c r="C108" i="16"/>
  <c r="D108" i="16" s="1"/>
  <c r="F107" i="16"/>
  <c r="C107" i="16"/>
  <c r="D107" i="16" s="1"/>
  <c r="F106" i="16"/>
  <c r="C106" i="16"/>
  <c r="D106" i="16" s="1"/>
  <c r="F105" i="16"/>
  <c r="C105" i="16"/>
  <c r="D105" i="16" s="1"/>
  <c r="C104" i="16"/>
  <c r="D104" i="16" s="1"/>
  <c r="C103" i="16"/>
  <c r="D103" i="16" s="1"/>
  <c r="C102" i="16"/>
  <c r="D102" i="16" s="1"/>
  <c r="C101" i="16"/>
  <c r="D101" i="16" s="1"/>
  <c r="C100" i="16"/>
  <c r="D100" i="16" s="1"/>
  <c r="C99" i="16"/>
  <c r="D99" i="16" s="1"/>
  <c r="C98" i="16"/>
  <c r="D98" i="16" s="1"/>
  <c r="C97" i="16"/>
  <c r="D97" i="16" s="1"/>
  <c r="C96" i="16"/>
  <c r="D96" i="16" s="1"/>
  <c r="C95" i="16"/>
  <c r="D95" i="16" s="1"/>
  <c r="C94" i="16"/>
  <c r="D94" i="16" s="1"/>
  <c r="D93" i="16"/>
  <c r="C93" i="16"/>
  <c r="C92" i="16"/>
  <c r="D92" i="16" s="1"/>
  <c r="F91" i="16"/>
  <c r="C91" i="16"/>
  <c r="D91" i="16" s="1"/>
  <c r="F90" i="16"/>
  <c r="C90" i="16"/>
  <c r="D90" i="16" s="1"/>
  <c r="F89" i="16"/>
  <c r="C89" i="16"/>
  <c r="D89" i="16" s="1"/>
  <c r="F88" i="16"/>
  <c r="C88" i="16"/>
  <c r="D88" i="16" s="1"/>
  <c r="C87" i="16"/>
  <c r="D87" i="16" s="1"/>
  <c r="F86" i="16"/>
  <c r="C86" i="16"/>
  <c r="D86" i="16" s="1"/>
  <c r="C85" i="16"/>
  <c r="F85" i="16" s="1"/>
  <c r="C84" i="16"/>
  <c r="C83" i="16"/>
  <c r="D83" i="16" s="1"/>
  <c r="Z79" i="16"/>
  <c r="X79" i="16"/>
  <c r="D79" i="16"/>
  <c r="Z78" i="16"/>
  <c r="X78" i="16"/>
  <c r="D78" i="16"/>
  <c r="Z77" i="16"/>
  <c r="X77" i="16"/>
  <c r="I77" i="16"/>
  <c r="E77" i="16"/>
  <c r="F77" i="16" s="1"/>
  <c r="G77" i="16" s="1"/>
  <c r="C77" i="16"/>
  <c r="Z76" i="16"/>
  <c r="X76" i="16"/>
  <c r="I76" i="16"/>
  <c r="F76" i="16"/>
  <c r="G76" i="16" s="1"/>
  <c r="E76" i="16"/>
  <c r="C76" i="16"/>
  <c r="Z75" i="16"/>
  <c r="X75" i="16"/>
  <c r="I75" i="16"/>
  <c r="E75" i="16"/>
  <c r="F75" i="16" s="1"/>
  <c r="G75" i="16" s="1"/>
  <c r="C75" i="16"/>
  <c r="Z74" i="16"/>
  <c r="X74" i="16"/>
  <c r="I74" i="16"/>
  <c r="E74" i="16"/>
  <c r="F74" i="16" s="1"/>
  <c r="G74" i="16" s="1"/>
  <c r="C74" i="16"/>
  <c r="Z73" i="16"/>
  <c r="X73" i="16"/>
  <c r="I73" i="16"/>
  <c r="E73" i="16"/>
  <c r="C73" i="16"/>
  <c r="Z72" i="16"/>
  <c r="X72" i="16"/>
  <c r="I72" i="16"/>
  <c r="E72" i="16"/>
  <c r="C72" i="16"/>
  <c r="Z71" i="16"/>
  <c r="X71" i="16"/>
  <c r="I71" i="16"/>
  <c r="E71" i="16"/>
  <c r="C71" i="16"/>
  <c r="Z70" i="16"/>
  <c r="X70" i="16"/>
  <c r="I70" i="16"/>
  <c r="E70" i="16"/>
  <c r="F70" i="16" s="1"/>
  <c r="G70" i="16" s="1"/>
  <c r="J70" i="16" s="1"/>
  <c r="C70" i="16"/>
  <c r="Z69" i="16"/>
  <c r="X69" i="16"/>
  <c r="I69" i="16"/>
  <c r="E69" i="16"/>
  <c r="F69" i="16" s="1"/>
  <c r="G69" i="16" s="1"/>
  <c r="J69" i="16" s="1"/>
  <c r="C69" i="16"/>
  <c r="Z68" i="16"/>
  <c r="X68" i="16"/>
  <c r="I68" i="16"/>
  <c r="E68" i="16"/>
  <c r="C68" i="16"/>
  <c r="Z67" i="16"/>
  <c r="X67" i="16"/>
  <c r="I67" i="16"/>
  <c r="G67" i="16"/>
  <c r="E67" i="16"/>
  <c r="F67" i="16" s="1"/>
  <c r="C67" i="16"/>
  <c r="Z66" i="16"/>
  <c r="X66" i="16"/>
  <c r="I66" i="16"/>
  <c r="E66" i="16"/>
  <c r="C66" i="16"/>
  <c r="Z65" i="16"/>
  <c r="X65" i="16"/>
  <c r="I65" i="16"/>
  <c r="E65" i="16"/>
  <c r="F65" i="16" s="1"/>
  <c r="G65" i="16" s="1"/>
  <c r="J65" i="16" s="1"/>
  <c r="C65" i="16"/>
  <c r="Z64" i="16"/>
  <c r="X64" i="16"/>
  <c r="I64" i="16"/>
  <c r="F64" i="16"/>
  <c r="G64" i="16" s="1"/>
  <c r="E64" i="16"/>
  <c r="C64" i="16"/>
  <c r="Z63" i="16"/>
  <c r="X63" i="16"/>
  <c r="I63" i="16"/>
  <c r="E63" i="16"/>
  <c r="C63" i="16"/>
  <c r="Z62" i="16"/>
  <c r="X62" i="16"/>
  <c r="I62" i="16"/>
  <c r="E62" i="16"/>
  <c r="C62" i="16"/>
  <c r="Z61" i="16"/>
  <c r="X61" i="16"/>
  <c r="I61" i="16"/>
  <c r="E61" i="16"/>
  <c r="F61" i="16" s="1"/>
  <c r="G61" i="16" s="1"/>
  <c r="J61" i="16" s="1"/>
  <c r="K61" i="16" s="1"/>
  <c r="C61" i="16"/>
  <c r="Z60" i="16"/>
  <c r="X60" i="16"/>
  <c r="I60" i="16"/>
  <c r="E60" i="16"/>
  <c r="F60" i="16" s="1"/>
  <c r="G60" i="16" s="1"/>
  <c r="O60" i="16" s="1"/>
  <c r="P60" i="16" s="1"/>
  <c r="C60" i="16"/>
  <c r="Z59" i="16"/>
  <c r="X59" i="16"/>
  <c r="I59" i="16"/>
  <c r="E59" i="16"/>
  <c r="F59" i="16" s="1"/>
  <c r="G59" i="16" s="1"/>
  <c r="O59" i="16" s="1"/>
  <c r="P59" i="16" s="1"/>
  <c r="C59" i="16"/>
  <c r="Z58" i="16"/>
  <c r="X58" i="16"/>
  <c r="I58" i="16"/>
  <c r="E58" i="16"/>
  <c r="C58" i="16"/>
  <c r="Z57" i="16"/>
  <c r="X57" i="16"/>
  <c r="I57" i="16"/>
  <c r="E57" i="16"/>
  <c r="F57" i="16" s="1"/>
  <c r="G57" i="16" s="1"/>
  <c r="J57" i="16" s="1"/>
  <c r="L57" i="16" s="1"/>
  <c r="C57" i="16"/>
  <c r="Z56" i="16"/>
  <c r="X56" i="16"/>
  <c r="I56" i="16"/>
  <c r="E56" i="16"/>
  <c r="F56" i="16" s="1"/>
  <c r="G56" i="16" s="1"/>
  <c r="C56" i="16"/>
  <c r="Z55" i="16"/>
  <c r="X55" i="16"/>
  <c r="I55" i="16"/>
  <c r="E55" i="16"/>
  <c r="C55" i="16"/>
  <c r="Z54" i="16"/>
  <c r="X54" i="16"/>
  <c r="I54" i="16"/>
  <c r="E54" i="16"/>
  <c r="C54" i="16"/>
  <c r="Z53" i="16"/>
  <c r="X53" i="16"/>
  <c r="I53" i="16"/>
  <c r="F53" i="16"/>
  <c r="G53" i="16" s="1"/>
  <c r="E53" i="16"/>
  <c r="C53" i="16"/>
  <c r="Z52" i="16"/>
  <c r="X52" i="16"/>
  <c r="I52" i="16"/>
  <c r="E52" i="16"/>
  <c r="F52" i="16" s="1"/>
  <c r="G52" i="16" s="1"/>
  <c r="O52" i="16" s="1"/>
  <c r="P52" i="16" s="1"/>
  <c r="C52" i="16"/>
  <c r="Z51" i="16"/>
  <c r="X51" i="16"/>
  <c r="I51" i="16"/>
  <c r="E51" i="16"/>
  <c r="F51" i="16" s="1"/>
  <c r="G51" i="16" s="1"/>
  <c r="C51" i="16"/>
  <c r="Z50" i="16"/>
  <c r="X50" i="16"/>
  <c r="I50" i="16"/>
  <c r="E50" i="16"/>
  <c r="F50" i="16" s="1"/>
  <c r="G50" i="16" s="1"/>
  <c r="C50" i="16"/>
  <c r="Z49" i="16"/>
  <c r="X49" i="16"/>
  <c r="I49" i="16"/>
  <c r="E49" i="16"/>
  <c r="F49" i="16" s="1"/>
  <c r="G49" i="16" s="1"/>
  <c r="J49" i="16" s="1"/>
  <c r="C49" i="16"/>
  <c r="Z48" i="16"/>
  <c r="X48" i="16"/>
  <c r="I48" i="16"/>
  <c r="E48" i="16"/>
  <c r="C48" i="16"/>
  <c r="Z47" i="16"/>
  <c r="X47" i="16"/>
  <c r="I47" i="16"/>
  <c r="E47" i="16"/>
  <c r="C47" i="16"/>
  <c r="Z46" i="16"/>
  <c r="X46" i="16"/>
  <c r="I46" i="16"/>
  <c r="F46" i="16"/>
  <c r="G46" i="16" s="1"/>
  <c r="E46" i="16"/>
  <c r="C46" i="16"/>
  <c r="Z45" i="16"/>
  <c r="X45" i="16"/>
  <c r="I45" i="16"/>
  <c r="E45" i="16"/>
  <c r="F45" i="16" s="1"/>
  <c r="G45" i="16" s="1"/>
  <c r="J45" i="16" s="1"/>
  <c r="K45" i="16" s="1"/>
  <c r="C45" i="16"/>
  <c r="Z44" i="16"/>
  <c r="X44" i="16"/>
  <c r="I44" i="16"/>
  <c r="E44" i="16"/>
  <c r="C44" i="16"/>
  <c r="Z43" i="16"/>
  <c r="X43" i="16"/>
  <c r="I43" i="16"/>
  <c r="E43" i="16"/>
  <c r="F43" i="16" s="1"/>
  <c r="G43" i="16" s="1"/>
  <c r="C43" i="16"/>
  <c r="Z42" i="16"/>
  <c r="X42" i="16"/>
  <c r="I42" i="16"/>
  <c r="E42" i="16"/>
  <c r="F42" i="16" s="1"/>
  <c r="C42" i="16"/>
  <c r="C38" i="16"/>
  <c r="E38" i="16" s="1"/>
  <c r="G38" i="16" s="1"/>
  <c r="C37" i="16"/>
  <c r="E37" i="16" s="1"/>
  <c r="G37" i="16" s="1"/>
  <c r="I36" i="16"/>
  <c r="C36" i="16"/>
  <c r="E36" i="16" s="1"/>
  <c r="G36" i="16" s="1"/>
  <c r="H36" i="16" s="1"/>
  <c r="C35" i="16"/>
  <c r="E35" i="16" s="1"/>
  <c r="G35" i="16" s="1"/>
  <c r="C34" i="16"/>
  <c r="E34" i="16" s="1"/>
  <c r="G34" i="16" s="1"/>
  <c r="C33" i="16"/>
  <c r="E33" i="16" s="1"/>
  <c r="G33" i="16" s="1"/>
  <c r="H33" i="16" s="1"/>
  <c r="C32" i="16"/>
  <c r="E32" i="16" s="1"/>
  <c r="G32" i="16" s="1"/>
  <c r="H32" i="16" s="1"/>
  <c r="C31" i="16"/>
  <c r="E31" i="16" s="1"/>
  <c r="G31" i="16" s="1"/>
  <c r="C30" i="16"/>
  <c r="E30" i="16" s="1"/>
  <c r="G30" i="16" s="1"/>
  <c r="C29" i="16"/>
  <c r="E29" i="16" s="1"/>
  <c r="G29" i="16" s="1"/>
  <c r="H29" i="16" s="1"/>
  <c r="C28" i="16"/>
  <c r="E28" i="16" s="1"/>
  <c r="G28" i="16" s="1"/>
  <c r="H28" i="16" s="1"/>
  <c r="C27" i="16"/>
  <c r="E27" i="16" s="1"/>
  <c r="G27" i="16" s="1"/>
  <c r="C26" i="16"/>
  <c r="E26" i="16" s="1"/>
  <c r="G26" i="16" s="1"/>
  <c r="C25" i="16"/>
  <c r="E25" i="16" s="1"/>
  <c r="G25" i="16" s="1"/>
  <c r="H25" i="16" s="1"/>
  <c r="C24" i="16"/>
  <c r="E24" i="16" s="1"/>
  <c r="G24" i="16" s="1"/>
  <c r="H24" i="16" s="1"/>
  <c r="C23" i="16"/>
  <c r="E23" i="16" s="1"/>
  <c r="G23" i="16" s="1"/>
  <c r="C22" i="16"/>
  <c r="E22" i="16" s="1"/>
  <c r="G22" i="16" s="1"/>
  <c r="C21" i="16"/>
  <c r="E21" i="16" s="1"/>
  <c r="G21" i="16" s="1"/>
  <c r="H21" i="16" s="1"/>
  <c r="C20" i="16"/>
  <c r="E20" i="16" s="1"/>
  <c r="G20" i="16" s="1"/>
  <c r="H20" i="16" s="1"/>
  <c r="C19" i="16"/>
  <c r="E19" i="16" s="1"/>
  <c r="G19" i="16" s="1"/>
  <c r="C18" i="16"/>
  <c r="E18" i="16" s="1"/>
  <c r="G18" i="16" s="1"/>
  <c r="C17" i="16"/>
  <c r="E17" i="16" s="1"/>
  <c r="G17" i="16" s="1"/>
  <c r="H17" i="16" s="1"/>
  <c r="C16" i="16"/>
  <c r="E16" i="16" s="1"/>
  <c r="G16" i="16" s="1"/>
  <c r="H16" i="16" s="1"/>
  <c r="C15" i="16"/>
  <c r="E15" i="16" s="1"/>
  <c r="G15" i="16" s="1"/>
  <c r="C14" i="16"/>
  <c r="E14" i="16" s="1"/>
  <c r="G14" i="16" s="1"/>
  <c r="E13" i="16"/>
  <c r="G13" i="16" s="1"/>
  <c r="H13" i="16" s="1"/>
  <c r="C13" i="16"/>
  <c r="C12" i="16"/>
  <c r="E12" i="16" s="1"/>
  <c r="G12" i="16" s="1"/>
  <c r="H12" i="16" s="1"/>
  <c r="C11" i="16"/>
  <c r="E11" i="16" s="1"/>
  <c r="G11" i="16" s="1"/>
  <c r="E10" i="16"/>
  <c r="G10" i="16" s="1"/>
  <c r="C10" i="16"/>
  <c r="C9" i="16"/>
  <c r="E9" i="16" s="1"/>
  <c r="G9" i="16" s="1"/>
  <c r="H9" i="16" s="1"/>
  <c r="C8" i="16"/>
  <c r="E8" i="16" s="1"/>
  <c r="G8" i="16" s="1"/>
  <c r="H8" i="16" s="1"/>
  <c r="C7" i="16"/>
  <c r="E7" i="16" s="1"/>
  <c r="G7" i="16" s="1"/>
  <c r="C6" i="16"/>
  <c r="E6" i="16" s="1"/>
  <c r="G6" i="16" s="1"/>
  <c r="C5" i="16"/>
  <c r="E5" i="16" s="1"/>
  <c r="G5" i="16" s="1"/>
  <c r="H5" i="16" s="1"/>
  <c r="C4" i="16"/>
  <c r="E4" i="16" s="1"/>
  <c r="G4" i="16" s="1"/>
  <c r="H4" i="16" s="1"/>
  <c r="C3" i="16"/>
  <c r="E3" i="16" s="1"/>
  <c r="G3" i="16" s="1"/>
  <c r="D12" i="15"/>
  <c r="D11" i="15"/>
  <c r="D4" i="15" s="1"/>
  <c r="CD11" i="14"/>
  <c r="CE11" i="14" s="1"/>
  <c r="CE10" i="14" s="1"/>
  <c r="K11" i="14"/>
  <c r="L11" i="14" s="1"/>
  <c r="L10" i="14" s="1"/>
  <c r="J11" i="14"/>
  <c r="J10" i="14" s="1"/>
  <c r="CC10" i="14"/>
  <c r="I10" i="14"/>
  <c r="BU8" i="14"/>
  <c r="BU7" i="14"/>
  <c r="BV7" i="14" s="1"/>
  <c r="B7" i="14"/>
  <c r="C7" i="14" s="1"/>
  <c r="BU6" i="14"/>
  <c r="BY12" i="14" s="1"/>
  <c r="BT1" i="14"/>
  <c r="A1" i="14"/>
  <c r="A104" i="13"/>
  <c r="E104" i="13" s="1"/>
  <c r="A103" i="13"/>
  <c r="E103" i="13" s="1"/>
  <c r="A102" i="13"/>
  <c r="E102" i="13" s="1"/>
  <c r="A101" i="13"/>
  <c r="E101" i="13" s="1"/>
  <c r="S4" i="13"/>
  <c r="AF4" i="13" s="1"/>
  <c r="AS4" i="13" s="1"/>
  <c r="BF4" i="13" s="1"/>
  <c r="BS4" i="13" s="1"/>
  <c r="R4" i="13"/>
  <c r="AE4" i="13" s="1"/>
  <c r="AR4" i="13" s="1"/>
  <c r="BE4" i="13" s="1"/>
  <c r="BR4" i="13" s="1"/>
  <c r="Q4" i="13"/>
  <c r="AD4" i="13" s="1"/>
  <c r="AQ4" i="13" s="1"/>
  <c r="BD4" i="13" s="1"/>
  <c r="BQ4" i="13" s="1"/>
  <c r="P4" i="13"/>
  <c r="AC4" i="13" s="1"/>
  <c r="AP4" i="13" s="1"/>
  <c r="BC4" i="13" s="1"/>
  <c r="BP4" i="13" s="1"/>
  <c r="O4" i="13"/>
  <c r="AB4" i="13" s="1"/>
  <c r="AO4" i="13" s="1"/>
  <c r="BB4" i="13" s="1"/>
  <c r="BO4" i="13" s="1"/>
  <c r="N4" i="13"/>
  <c r="AA4" i="13" s="1"/>
  <c r="AN4" i="13" s="1"/>
  <c r="BA4" i="13" s="1"/>
  <c r="BN4" i="13" s="1"/>
  <c r="M4" i="13"/>
  <c r="Z4" i="13" s="1"/>
  <c r="AM4" i="13" s="1"/>
  <c r="AZ4" i="13" s="1"/>
  <c r="BM4" i="13" s="1"/>
  <c r="L4" i="13"/>
  <c r="Y4" i="13" s="1"/>
  <c r="AL4" i="13" s="1"/>
  <c r="AY4" i="13" s="1"/>
  <c r="BL4" i="13" s="1"/>
  <c r="K4" i="13"/>
  <c r="X4" i="13" s="1"/>
  <c r="AK4" i="13" s="1"/>
  <c r="AX4" i="13" s="1"/>
  <c r="BK4" i="13" s="1"/>
  <c r="J4" i="13"/>
  <c r="W4" i="13" s="1"/>
  <c r="AJ4" i="13" s="1"/>
  <c r="AW4" i="13" s="1"/>
  <c r="BJ4" i="13" s="1"/>
  <c r="I4" i="13"/>
  <c r="V4" i="13" s="1"/>
  <c r="AI4" i="13" s="1"/>
  <c r="AV4" i="13" s="1"/>
  <c r="BI4" i="13" s="1"/>
  <c r="H4" i="13"/>
  <c r="U4" i="13" s="1"/>
  <c r="AH4" i="13" s="1"/>
  <c r="AU4" i="13" s="1"/>
  <c r="BH4" i="13" s="1"/>
  <c r="A1" i="13"/>
  <c r="A1" i="12"/>
  <c r="H66" i="11"/>
  <c r="C59" i="11"/>
  <c r="BI58" i="11"/>
  <c r="BJ58" i="11" s="1"/>
  <c r="BK58" i="11" s="1"/>
  <c r="BL58" i="11" s="1"/>
  <c r="BM58" i="11" s="1"/>
  <c r="BN58" i="11" s="1"/>
  <c r="BO58" i="11" s="1"/>
  <c r="BP58" i="11" s="1"/>
  <c r="BQ58" i="11" s="1"/>
  <c r="BR58" i="11" s="1"/>
  <c r="BS58" i="11" s="1"/>
  <c r="AV58" i="11"/>
  <c r="AW58" i="11" s="1"/>
  <c r="AX58" i="11" s="1"/>
  <c r="AY58" i="11" s="1"/>
  <c r="AZ58" i="11" s="1"/>
  <c r="BA58" i="11" s="1"/>
  <c r="BB58" i="11" s="1"/>
  <c r="BC58" i="11" s="1"/>
  <c r="BD58" i="11" s="1"/>
  <c r="BE58" i="11" s="1"/>
  <c r="BF58" i="11" s="1"/>
  <c r="AI58" i="11"/>
  <c r="AJ58" i="11" s="1"/>
  <c r="AK58" i="11" s="1"/>
  <c r="AL58" i="11" s="1"/>
  <c r="AM58" i="11" s="1"/>
  <c r="AN58" i="11" s="1"/>
  <c r="AO58" i="11" s="1"/>
  <c r="AP58" i="11" s="1"/>
  <c r="AQ58" i="11" s="1"/>
  <c r="AR58" i="11" s="1"/>
  <c r="AS58" i="11" s="1"/>
  <c r="V58" i="11"/>
  <c r="W58" i="11" s="1"/>
  <c r="X58" i="11" s="1"/>
  <c r="Y58" i="11" s="1"/>
  <c r="Z58" i="11" s="1"/>
  <c r="AA58" i="11" s="1"/>
  <c r="AB58" i="11" s="1"/>
  <c r="AC58" i="11" s="1"/>
  <c r="AD58" i="11" s="1"/>
  <c r="AE58" i="11" s="1"/>
  <c r="AF58" i="11" s="1"/>
  <c r="I58" i="11"/>
  <c r="F57" i="11"/>
  <c r="AH57" i="11" s="1"/>
  <c r="BI56" i="11"/>
  <c r="BJ56" i="11" s="1"/>
  <c r="BK56" i="11" s="1"/>
  <c r="BL56" i="11" s="1"/>
  <c r="AV56" i="11"/>
  <c r="AW56" i="11" s="1"/>
  <c r="AX56" i="11" s="1"/>
  <c r="AY56" i="11" s="1"/>
  <c r="AZ56" i="11" s="1"/>
  <c r="BA56" i="11" s="1"/>
  <c r="BB56" i="11" s="1"/>
  <c r="BC56" i="11" s="1"/>
  <c r="BD56" i="11" s="1"/>
  <c r="BE56" i="11" s="1"/>
  <c r="BF56" i="11" s="1"/>
  <c r="AI56" i="11"/>
  <c r="AJ56" i="11" s="1"/>
  <c r="AK56" i="11" s="1"/>
  <c r="AL56" i="11" s="1"/>
  <c r="AM56" i="11" s="1"/>
  <c r="AN56" i="11" s="1"/>
  <c r="AO56" i="11" s="1"/>
  <c r="AP56" i="11" s="1"/>
  <c r="AQ56" i="11" s="1"/>
  <c r="AR56" i="11" s="1"/>
  <c r="AS56" i="11" s="1"/>
  <c r="V56" i="11"/>
  <c r="W56" i="11" s="1"/>
  <c r="X56" i="11" s="1"/>
  <c r="Y56" i="11" s="1"/>
  <c r="Z56" i="11" s="1"/>
  <c r="AA56" i="11" s="1"/>
  <c r="AB56" i="11" s="1"/>
  <c r="AC56" i="11" s="1"/>
  <c r="AD56" i="11" s="1"/>
  <c r="AE56" i="11" s="1"/>
  <c r="AF56" i="11" s="1"/>
  <c r="I56" i="11"/>
  <c r="J56" i="11" s="1"/>
  <c r="K56" i="11" s="1"/>
  <c r="L56" i="11" s="1"/>
  <c r="M56" i="11" s="1"/>
  <c r="N56" i="11" s="1"/>
  <c r="O56" i="11" s="1"/>
  <c r="P56" i="11" s="1"/>
  <c r="Q56" i="11" s="1"/>
  <c r="R56" i="11" s="1"/>
  <c r="S56" i="11" s="1"/>
  <c r="F55" i="11"/>
  <c r="BI54" i="11"/>
  <c r="BJ54" i="11" s="1"/>
  <c r="BK54" i="11" s="1"/>
  <c r="BL54" i="11" s="1"/>
  <c r="BM54" i="11" s="1"/>
  <c r="BN54" i="11" s="1"/>
  <c r="BO54" i="11" s="1"/>
  <c r="BP54" i="11" s="1"/>
  <c r="BQ54" i="11" s="1"/>
  <c r="BR54" i="11" s="1"/>
  <c r="BS54" i="11" s="1"/>
  <c r="AV54" i="11"/>
  <c r="AW54" i="11" s="1"/>
  <c r="AX54" i="11" s="1"/>
  <c r="AY54" i="11" s="1"/>
  <c r="AZ54" i="11" s="1"/>
  <c r="BA54" i="11" s="1"/>
  <c r="BB54" i="11" s="1"/>
  <c r="BC54" i="11" s="1"/>
  <c r="BD54" i="11" s="1"/>
  <c r="BE54" i="11" s="1"/>
  <c r="BF54" i="11" s="1"/>
  <c r="AH54" i="11"/>
  <c r="U54" i="11"/>
  <c r="I54" i="11"/>
  <c r="F53" i="11"/>
  <c r="BI52" i="11"/>
  <c r="BJ52" i="11" s="1"/>
  <c r="BK52" i="11" s="1"/>
  <c r="BL52" i="11" s="1"/>
  <c r="BM52" i="11" s="1"/>
  <c r="BN52" i="11" s="1"/>
  <c r="BO52" i="11" s="1"/>
  <c r="BP52" i="11" s="1"/>
  <c r="BQ52" i="11" s="1"/>
  <c r="BR52" i="11" s="1"/>
  <c r="BS52" i="11" s="1"/>
  <c r="AV52" i="11"/>
  <c r="AW52" i="11" s="1"/>
  <c r="AX52" i="11" s="1"/>
  <c r="AY52" i="11" s="1"/>
  <c r="AZ52" i="11" s="1"/>
  <c r="BA52" i="11" s="1"/>
  <c r="BB52" i="11" s="1"/>
  <c r="BC52" i="11" s="1"/>
  <c r="BD52" i="11" s="1"/>
  <c r="BE52" i="11" s="1"/>
  <c r="BF52" i="11" s="1"/>
  <c r="AI52" i="11"/>
  <c r="AJ52" i="11" s="1"/>
  <c r="AK52" i="11" s="1"/>
  <c r="AL52" i="11" s="1"/>
  <c r="AM52" i="11" s="1"/>
  <c r="AN52" i="11" s="1"/>
  <c r="AO52" i="11" s="1"/>
  <c r="AP52" i="11" s="1"/>
  <c r="AQ52" i="11" s="1"/>
  <c r="AR52" i="11" s="1"/>
  <c r="AS52" i="11" s="1"/>
  <c r="V52" i="1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I52" i="11"/>
  <c r="F51" i="11"/>
  <c r="BI50" i="11"/>
  <c r="AV50" i="11"/>
  <c r="AI50" i="11"/>
  <c r="V50" i="11"/>
  <c r="I50" i="11"/>
  <c r="F49" i="11"/>
  <c r="BH49" i="11" s="1"/>
  <c r="C45" i="11"/>
  <c r="BH44" i="11"/>
  <c r="BI44" i="11" s="1"/>
  <c r="BJ44" i="11" s="1"/>
  <c r="BK44" i="11" s="1"/>
  <c r="BL44" i="11" s="1"/>
  <c r="BM44" i="11" s="1"/>
  <c r="BN44" i="11" s="1"/>
  <c r="BO44" i="11" s="1"/>
  <c r="BP44" i="11" s="1"/>
  <c r="BQ44" i="11" s="1"/>
  <c r="BR44" i="11" s="1"/>
  <c r="BS44" i="11" s="1"/>
  <c r="AU44" i="11"/>
  <c r="AV44" i="11" s="1"/>
  <c r="AW44" i="11" s="1"/>
  <c r="AX44" i="11" s="1"/>
  <c r="AY44" i="11" s="1"/>
  <c r="AZ44" i="11" s="1"/>
  <c r="BA44" i="11" s="1"/>
  <c r="BB44" i="11" s="1"/>
  <c r="BC44" i="11" s="1"/>
  <c r="BD44" i="11" s="1"/>
  <c r="BE44" i="11" s="1"/>
  <c r="BF44" i="11" s="1"/>
  <c r="AH44" i="11"/>
  <c r="AI44" i="11" s="1"/>
  <c r="AJ44" i="11" s="1"/>
  <c r="AK44" i="11" s="1"/>
  <c r="AL44" i="11" s="1"/>
  <c r="AM44" i="11" s="1"/>
  <c r="AN44" i="11" s="1"/>
  <c r="AO44" i="11" s="1"/>
  <c r="AP44" i="11" s="1"/>
  <c r="AQ44" i="11" s="1"/>
  <c r="AR44" i="11" s="1"/>
  <c r="AS44" i="11" s="1"/>
  <c r="U44" i="11"/>
  <c r="V44" i="11" s="1"/>
  <c r="W44" i="11" s="1"/>
  <c r="X44" i="11" s="1"/>
  <c r="Y44" i="11" s="1"/>
  <c r="Z44" i="11" s="1"/>
  <c r="AA44" i="11" s="1"/>
  <c r="AB44" i="11" s="1"/>
  <c r="AC44" i="11" s="1"/>
  <c r="AD44" i="11" s="1"/>
  <c r="AE44" i="11" s="1"/>
  <c r="AF44" i="11" s="1"/>
  <c r="I44" i="11"/>
  <c r="J44" i="11" s="1"/>
  <c r="K44" i="11" s="1"/>
  <c r="L44" i="11" s="1"/>
  <c r="M44" i="11" s="1"/>
  <c r="N44" i="11" s="1"/>
  <c r="O44" i="11" s="1"/>
  <c r="P44" i="11" s="1"/>
  <c r="Q44" i="11" s="1"/>
  <c r="R44" i="11" s="1"/>
  <c r="S44" i="11" s="1"/>
  <c r="E43" i="11"/>
  <c r="F43" i="11" s="1"/>
  <c r="BH42" i="11"/>
  <c r="BI42" i="11" s="1"/>
  <c r="BJ42" i="11" s="1"/>
  <c r="BK42" i="11" s="1"/>
  <c r="BL42" i="11" s="1"/>
  <c r="BM42" i="11" s="1"/>
  <c r="BN42" i="11" s="1"/>
  <c r="BO42" i="11" s="1"/>
  <c r="BP42" i="11" s="1"/>
  <c r="AU42" i="11"/>
  <c r="AV42" i="11" s="1"/>
  <c r="AW42" i="11" s="1"/>
  <c r="AX42" i="11" s="1"/>
  <c r="AY42" i="11" s="1"/>
  <c r="AZ42" i="11" s="1"/>
  <c r="AH42" i="11"/>
  <c r="AI42" i="11" s="1"/>
  <c r="AJ42" i="11" s="1"/>
  <c r="U42" i="11"/>
  <c r="V42" i="11" s="1"/>
  <c r="W42" i="11" s="1"/>
  <c r="X42" i="11" s="1"/>
  <c r="I42" i="11"/>
  <c r="J42" i="11" s="1"/>
  <c r="K42" i="11" s="1"/>
  <c r="L42" i="11" s="1"/>
  <c r="M42" i="11" s="1"/>
  <c r="N42" i="11" s="1"/>
  <c r="O42" i="11" s="1"/>
  <c r="P42" i="11" s="1"/>
  <c r="Q42" i="11" s="1"/>
  <c r="R42" i="11" s="1"/>
  <c r="S42" i="11" s="1"/>
  <c r="E41" i="11"/>
  <c r="F41" i="11" s="1"/>
  <c r="BH40" i="11"/>
  <c r="AU40" i="11"/>
  <c r="AH40" i="11"/>
  <c r="U40" i="11"/>
  <c r="I40" i="11"/>
  <c r="E39" i="11"/>
  <c r="F39" i="11" s="1"/>
  <c r="BI38" i="11"/>
  <c r="BJ38" i="11" s="1"/>
  <c r="BK38" i="11" s="1"/>
  <c r="BL38" i="11" s="1"/>
  <c r="BM38" i="11" s="1"/>
  <c r="BN38" i="11" s="1"/>
  <c r="BO38" i="11" s="1"/>
  <c r="BP38" i="11" s="1"/>
  <c r="BQ38" i="11" s="1"/>
  <c r="BR38" i="11" s="1"/>
  <c r="BS38" i="11" s="1"/>
  <c r="AV38" i="11"/>
  <c r="AW38" i="11" s="1"/>
  <c r="AX38" i="11" s="1"/>
  <c r="AY38" i="11" s="1"/>
  <c r="AZ38" i="11" s="1"/>
  <c r="BA38" i="11" s="1"/>
  <c r="BB38" i="11" s="1"/>
  <c r="BC38" i="11" s="1"/>
  <c r="BD38" i="11" s="1"/>
  <c r="BE38" i="11" s="1"/>
  <c r="BF38" i="11" s="1"/>
  <c r="AI38" i="11"/>
  <c r="AJ38" i="11" s="1"/>
  <c r="AK38" i="11" s="1"/>
  <c r="AL38" i="11" s="1"/>
  <c r="AM38" i="11" s="1"/>
  <c r="AN38" i="11" s="1"/>
  <c r="AO38" i="11" s="1"/>
  <c r="AP38" i="11" s="1"/>
  <c r="V38" i="11"/>
  <c r="W38" i="11" s="1"/>
  <c r="X38" i="11" s="1"/>
  <c r="Y38" i="11" s="1"/>
  <c r="Z38" i="11" s="1"/>
  <c r="E37" i="11"/>
  <c r="F37" i="11" s="1"/>
  <c r="BI36" i="11"/>
  <c r="AV36" i="11"/>
  <c r="AI36" i="11"/>
  <c r="V36" i="11"/>
  <c r="E35" i="11"/>
  <c r="F35" i="11" s="1"/>
  <c r="C31" i="11"/>
  <c r="BH30" i="11"/>
  <c r="BI30" i="11" s="1"/>
  <c r="BJ30" i="11" s="1"/>
  <c r="BK30" i="11" s="1"/>
  <c r="BL30" i="11" s="1"/>
  <c r="BM30" i="11" s="1"/>
  <c r="BN30" i="11" s="1"/>
  <c r="BO30" i="11" s="1"/>
  <c r="BP30" i="11" s="1"/>
  <c r="BQ30" i="11" s="1"/>
  <c r="BR30" i="11" s="1"/>
  <c r="BS30" i="11" s="1"/>
  <c r="AU30" i="11"/>
  <c r="AV30" i="11" s="1"/>
  <c r="AW30" i="11" s="1"/>
  <c r="AX30" i="11" s="1"/>
  <c r="AY30" i="11" s="1"/>
  <c r="AZ30" i="11" s="1"/>
  <c r="BA30" i="11" s="1"/>
  <c r="BB30" i="11" s="1"/>
  <c r="BC30" i="11" s="1"/>
  <c r="BD30" i="11" s="1"/>
  <c r="BE30" i="11" s="1"/>
  <c r="BF30" i="11" s="1"/>
  <c r="AH30" i="11"/>
  <c r="AI30" i="11" s="1"/>
  <c r="AJ30" i="11" s="1"/>
  <c r="AK30" i="11" s="1"/>
  <c r="AL30" i="11" s="1"/>
  <c r="AM30" i="11" s="1"/>
  <c r="AN30" i="11" s="1"/>
  <c r="AO30" i="11" s="1"/>
  <c r="AP30" i="11" s="1"/>
  <c r="AQ30" i="11" s="1"/>
  <c r="AR30" i="11" s="1"/>
  <c r="AS30" i="11" s="1"/>
  <c r="U30" i="11"/>
  <c r="V30" i="11" s="1"/>
  <c r="W30" i="11" s="1"/>
  <c r="X30" i="11" s="1"/>
  <c r="Y30" i="11" s="1"/>
  <c r="Z30" i="11" s="1"/>
  <c r="AA30" i="11" s="1"/>
  <c r="AB30" i="11" s="1"/>
  <c r="AC30" i="11" s="1"/>
  <c r="AD30" i="11" s="1"/>
  <c r="AE30" i="11" s="1"/>
  <c r="AF30" i="11" s="1"/>
  <c r="E29" i="11"/>
  <c r="F29" i="11" s="1"/>
  <c r="BH28" i="11"/>
  <c r="BI28" i="11" s="1"/>
  <c r="BJ28" i="11" s="1"/>
  <c r="BK28" i="11" s="1"/>
  <c r="BL28" i="11" s="1"/>
  <c r="BM28" i="11" s="1"/>
  <c r="BN28" i="11" s="1"/>
  <c r="BO28" i="11" s="1"/>
  <c r="BP28" i="11" s="1"/>
  <c r="BQ28" i="11" s="1"/>
  <c r="BR28" i="11" s="1"/>
  <c r="BS28" i="11" s="1"/>
  <c r="AU28" i="11"/>
  <c r="AV28" i="11" s="1"/>
  <c r="AW28" i="11" s="1"/>
  <c r="AX28" i="11" s="1"/>
  <c r="AY28" i="11" s="1"/>
  <c r="AZ28" i="11" s="1"/>
  <c r="BA28" i="11" s="1"/>
  <c r="BB28" i="11" s="1"/>
  <c r="BC28" i="11" s="1"/>
  <c r="BD28" i="11" s="1"/>
  <c r="BE28" i="11" s="1"/>
  <c r="BF28" i="11" s="1"/>
  <c r="AH28" i="11"/>
  <c r="AI28" i="11" s="1"/>
  <c r="AJ28" i="11" s="1"/>
  <c r="AK28" i="11" s="1"/>
  <c r="AL28" i="11" s="1"/>
  <c r="AM28" i="11" s="1"/>
  <c r="AN28" i="11" s="1"/>
  <c r="AO28" i="11" s="1"/>
  <c r="AP28" i="11" s="1"/>
  <c r="AQ28" i="11" s="1"/>
  <c r="AR28" i="11" s="1"/>
  <c r="AS28" i="11" s="1"/>
  <c r="U28" i="1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E27" i="11"/>
  <c r="F27" i="11" s="1"/>
  <c r="BH26" i="11"/>
  <c r="BI26" i="11" s="1"/>
  <c r="BJ26" i="11" s="1"/>
  <c r="BK26" i="11" s="1"/>
  <c r="BL26" i="11" s="1"/>
  <c r="AU26" i="11"/>
  <c r="AV26" i="11" s="1"/>
  <c r="AW26" i="11" s="1"/>
  <c r="AX26" i="11" s="1"/>
  <c r="AY26" i="11" s="1"/>
  <c r="AZ26" i="11" s="1"/>
  <c r="BA26" i="11" s="1"/>
  <c r="BB26" i="11" s="1"/>
  <c r="BC26" i="11" s="1"/>
  <c r="BD26" i="11" s="1"/>
  <c r="AH26" i="11"/>
  <c r="AI26" i="11" s="1"/>
  <c r="AJ26" i="11" s="1"/>
  <c r="AK26" i="11" s="1"/>
  <c r="AL26" i="11" s="1"/>
  <c r="AM26" i="11" s="1"/>
  <c r="AN26" i="11" s="1"/>
  <c r="AO26" i="11" s="1"/>
  <c r="AP26" i="11" s="1"/>
  <c r="AQ26" i="11" s="1"/>
  <c r="AR26" i="11" s="1"/>
  <c r="AS26" i="11" s="1"/>
  <c r="U26" i="11"/>
  <c r="V26" i="11" s="1"/>
  <c r="W26" i="11" s="1"/>
  <c r="X26" i="11" s="1"/>
  <c r="I26" i="11"/>
  <c r="J26" i="11" s="1"/>
  <c r="K26" i="11" s="1"/>
  <c r="L26" i="11" s="1"/>
  <c r="M26" i="11" s="1"/>
  <c r="N26" i="11" s="1"/>
  <c r="O26" i="11" s="1"/>
  <c r="P26" i="11" s="1"/>
  <c r="BI24" i="11"/>
  <c r="AV24" i="11"/>
  <c r="AI24" i="11"/>
  <c r="AJ24" i="11" s="1"/>
  <c r="AK24" i="11" s="1"/>
  <c r="AL24" i="11" s="1"/>
  <c r="AM24" i="11" s="1"/>
  <c r="AN24" i="11" s="1"/>
  <c r="U24" i="11"/>
  <c r="V24" i="11" s="1"/>
  <c r="W24" i="11" s="1"/>
  <c r="X24" i="11" s="1"/>
  <c r="I24" i="11"/>
  <c r="BI22" i="11"/>
  <c r="BJ22" i="11" s="1"/>
  <c r="BK22" i="11" s="1"/>
  <c r="BL22" i="11" s="1"/>
  <c r="BM22" i="11" s="1"/>
  <c r="BN22" i="11" s="1"/>
  <c r="BO22" i="11" s="1"/>
  <c r="BP22" i="11" s="1"/>
  <c r="BQ22" i="11" s="1"/>
  <c r="BR22" i="11" s="1"/>
  <c r="BS22" i="11" s="1"/>
  <c r="AV22" i="11"/>
  <c r="AW22" i="11" s="1"/>
  <c r="AX22" i="11" s="1"/>
  <c r="AY22" i="11" s="1"/>
  <c r="AZ22" i="11" s="1"/>
  <c r="BA22" i="11" s="1"/>
  <c r="BB22" i="11" s="1"/>
  <c r="BC22" i="11" s="1"/>
  <c r="BD22" i="11" s="1"/>
  <c r="BE22" i="11" s="1"/>
  <c r="BF22" i="11" s="1"/>
  <c r="AI22" i="11"/>
  <c r="AJ22" i="11" s="1"/>
  <c r="AK22" i="11" s="1"/>
  <c r="AL22" i="11" s="1"/>
  <c r="AM22" i="11" s="1"/>
  <c r="AN22" i="11" s="1"/>
  <c r="AO22" i="11" s="1"/>
  <c r="AP22" i="11" s="1"/>
  <c r="AQ22" i="11" s="1"/>
  <c r="AR22" i="11" s="1"/>
  <c r="AS22" i="11" s="1"/>
  <c r="V22" i="11"/>
  <c r="W22" i="11" s="1"/>
  <c r="X22" i="11" s="1"/>
  <c r="Y22" i="11" s="1"/>
  <c r="Z22" i="11" s="1"/>
  <c r="AA22" i="11" s="1"/>
  <c r="AB22" i="11" s="1"/>
  <c r="AC22" i="11" s="1"/>
  <c r="AD22" i="11" s="1"/>
  <c r="AE22" i="11" s="1"/>
  <c r="AF22" i="11" s="1"/>
  <c r="I22" i="11"/>
  <c r="J22" i="11" s="1"/>
  <c r="K22" i="11" s="1"/>
  <c r="L22" i="11" s="1"/>
  <c r="M22" i="11" s="1"/>
  <c r="N22" i="11" s="1"/>
  <c r="E21" i="11"/>
  <c r="F21" i="11" s="1"/>
  <c r="C17" i="11"/>
  <c r="BH16" i="11"/>
  <c r="BI16" i="11" s="1"/>
  <c r="BJ16" i="11" s="1"/>
  <c r="BK16" i="11" s="1"/>
  <c r="BL16" i="11" s="1"/>
  <c r="BM16" i="11" s="1"/>
  <c r="BN16" i="11" s="1"/>
  <c r="BO16" i="11" s="1"/>
  <c r="BP16" i="11" s="1"/>
  <c r="BQ16" i="11" s="1"/>
  <c r="BR16" i="11" s="1"/>
  <c r="BS16" i="11" s="1"/>
  <c r="AU16" i="11"/>
  <c r="AV16" i="11" s="1"/>
  <c r="AW16" i="11" s="1"/>
  <c r="AX16" i="11" s="1"/>
  <c r="AY16" i="11" s="1"/>
  <c r="AZ16" i="11" s="1"/>
  <c r="BA16" i="11" s="1"/>
  <c r="BB16" i="11" s="1"/>
  <c r="BC16" i="11" s="1"/>
  <c r="BD16" i="11" s="1"/>
  <c r="AH16" i="11"/>
  <c r="AI16" i="11" s="1"/>
  <c r="AJ16" i="11" s="1"/>
  <c r="AK16" i="11" s="1"/>
  <c r="AL16" i="11" s="1"/>
  <c r="AM16" i="11" s="1"/>
  <c r="AN16" i="11" s="1"/>
  <c r="U16" i="11"/>
  <c r="V16" i="11" s="1"/>
  <c r="W16" i="11" s="1"/>
  <c r="X16" i="11" s="1"/>
  <c r="E15" i="11"/>
  <c r="F15" i="11" s="1"/>
  <c r="BI14" i="11"/>
  <c r="BJ14" i="11" s="1"/>
  <c r="BK14" i="11" s="1"/>
  <c r="BL14" i="11" s="1"/>
  <c r="AV14" i="11"/>
  <c r="AI14" i="11"/>
  <c r="AJ14" i="11" s="1"/>
  <c r="AK14" i="11" s="1"/>
  <c r="AL14" i="11" s="1"/>
  <c r="AM14" i="11" s="1"/>
  <c r="AN14" i="11" s="1"/>
  <c r="V14" i="11"/>
  <c r="W14" i="11" s="1"/>
  <c r="X14" i="11" s="1"/>
  <c r="F13" i="11"/>
  <c r="BI12" i="11"/>
  <c r="BJ12" i="11" s="1"/>
  <c r="BK12" i="11" s="1"/>
  <c r="BL12" i="11" s="1"/>
  <c r="BM12" i="11" s="1"/>
  <c r="BN12" i="11" s="1"/>
  <c r="BO12" i="11" s="1"/>
  <c r="BP12" i="11" s="1"/>
  <c r="BQ12" i="11" s="1"/>
  <c r="BR12" i="11" s="1"/>
  <c r="BS12" i="11" s="1"/>
  <c r="AV12" i="11"/>
  <c r="AI12" i="11"/>
  <c r="V12" i="11"/>
  <c r="F11" i="11"/>
  <c r="BI10" i="11"/>
  <c r="AV10" i="11"/>
  <c r="AW10" i="11" s="1"/>
  <c r="AX10" i="11" s="1"/>
  <c r="AY10" i="11" s="1"/>
  <c r="AZ10" i="11" s="1"/>
  <c r="BA10" i="11" s="1"/>
  <c r="BB10" i="11" s="1"/>
  <c r="BC10" i="11" s="1"/>
  <c r="BD10" i="11" s="1"/>
  <c r="BE10" i="11" s="1"/>
  <c r="BF10" i="11" s="1"/>
  <c r="AI10" i="11"/>
  <c r="AJ10" i="11" s="1"/>
  <c r="AK10" i="11" s="1"/>
  <c r="AL10" i="11" s="1"/>
  <c r="AM10" i="11" s="1"/>
  <c r="AN10" i="11" s="1"/>
  <c r="AO10" i="11" s="1"/>
  <c r="AP10" i="11" s="1"/>
  <c r="AQ10" i="11" s="1"/>
  <c r="AR10" i="11" s="1"/>
  <c r="AS10" i="11" s="1"/>
  <c r="V10" i="11"/>
  <c r="W10" i="11" s="1"/>
  <c r="X10" i="11" s="1"/>
  <c r="Y10" i="11" s="1"/>
  <c r="Z10" i="11" s="1"/>
  <c r="AA10" i="11" s="1"/>
  <c r="AB10" i="11" s="1"/>
  <c r="AC10" i="11" s="1"/>
  <c r="AD10" i="11" s="1"/>
  <c r="AE10" i="11" s="1"/>
  <c r="E9" i="11"/>
  <c r="F9" i="11" s="1"/>
  <c r="BI8" i="11"/>
  <c r="BJ8" i="11" s="1"/>
  <c r="AV8" i="11"/>
  <c r="AW8" i="11" s="1"/>
  <c r="AI8" i="11"/>
  <c r="AJ8" i="11" s="1"/>
  <c r="I8" i="11"/>
  <c r="J8" i="11" s="1"/>
  <c r="E7" i="11"/>
  <c r="F7" i="11" s="1"/>
  <c r="U7" i="11" s="1"/>
  <c r="S5" i="11"/>
  <c r="AF5" i="11" s="1"/>
  <c r="AS5" i="11" s="1"/>
  <c r="BF5" i="11" s="1"/>
  <c r="BS5" i="11" s="1"/>
  <c r="R5" i="11"/>
  <c r="AE5" i="11" s="1"/>
  <c r="AR5" i="11" s="1"/>
  <c r="BE5" i="11" s="1"/>
  <c r="BR5" i="11" s="1"/>
  <c r="Q5" i="11"/>
  <c r="AD5" i="11" s="1"/>
  <c r="AQ5" i="11" s="1"/>
  <c r="BD5" i="11" s="1"/>
  <c r="BQ5" i="11" s="1"/>
  <c r="P5" i="11"/>
  <c r="AC5" i="11" s="1"/>
  <c r="AP5" i="11" s="1"/>
  <c r="BC5" i="11" s="1"/>
  <c r="BP5" i="11" s="1"/>
  <c r="O5" i="11"/>
  <c r="AB5" i="11" s="1"/>
  <c r="AO5" i="11" s="1"/>
  <c r="BB5" i="11" s="1"/>
  <c r="BO5" i="11" s="1"/>
  <c r="N5" i="11"/>
  <c r="AA5" i="11" s="1"/>
  <c r="AN5" i="11" s="1"/>
  <c r="BA5" i="11" s="1"/>
  <c r="BN5" i="11" s="1"/>
  <c r="M5" i="11"/>
  <c r="Z5" i="11" s="1"/>
  <c r="AM5" i="11" s="1"/>
  <c r="AZ5" i="11" s="1"/>
  <c r="BM5" i="11" s="1"/>
  <c r="L5" i="11"/>
  <c r="Y5" i="11" s="1"/>
  <c r="AL5" i="11" s="1"/>
  <c r="AY5" i="11" s="1"/>
  <c r="BL5" i="11" s="1"/>
  <c r="K5" i="11"/>
  <c r="X5" i="11" s="1"/>
  <c r="AK5" i="11" s="1"/>
  <c r="AX5" i="11" s="1"/>
  <c r="BK5" i="11" s="1"/>
  <c r="J5" i="11"/>
  <c r="W5" i="11" s="1"/>
  <c r="AJ5" i="11" s="1"/>
  <c r="AW5" i="11" s="1"/>
  <c r="BJ5" i="11" s="1"/>
  <c r="I5" i="11"/>
  <c r="V5" i="11" s="1"/>
  <c r="AI5" i="11" s="1"/>
  <c r="AV5" i="11" s="1"/>
  <c r="BI5" i="11" s="1"/>
  <c r="H5" i="11"/>
  <c r="U5" i="11" s="1"/>
  <c r="AH5" i="11" s="1"/>
  <c r="AU5" i="11" s="1"/>
  <c r="BH5" i="11" s="1"/>
  <c r="A1" i="11"/>
  <c r="B116" i="10"/>
  <c r="B117" i="10" s="1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J101" i="10"/>
  <c r="I101" i="10"/>
  <c r="G101" i="10"/>
  <c r="J100" i="10"/>
  <c r="I100" i="10"/>
  <c r="G100" i="10"/>
  <c r="J99" i="10"/>
  <c r="I99" i="10"/>
  <c r="G99" i="10"/>
  <c r="J98" i="10"/>
  <c r="I98" i="10"/>
  <c r="G98" i="10"/>
  <c r="J97" i="10"/>
  <c r="I97" i="10"/>
  <c r="G97" i="10"/>
  <c r="J96" i="10"/>
  <c r="I96" i="10"/>
  <c r="G96" i="10"/>
  <c r="J95" i="10"/>
  <c r="I95" i="10"/>
  <c r="G95" i="10"/>
  <c r="J94" i="10"/>
  <c r="I94" i="10"/>
  <c r="G94" i="10"/>
  <c r="J93" i="10"/>
  <c r="I93" i="10"/>
  <c r="G93" i="10"/>
  <c r="J92" i="10"/>
  <c r="I92" i="10"/>
  <c r="G92" i="10"/>
  <c r="J91" i="10"/>
  <c r="I91" i="10"/>
  <c r="G91" i="10"/>
  <c r="J90" i="10"/>
  <c r="I90" i="10"/>
  <c r="G90" i="10"/>
  <c r="J89" i="10"/>
  <c r="I89" i="10"/>
  <c r="G89" i="10"/>
  <c r="J88" i="10"/>
  <c r="I88" i="10"/>
  <c r="G88" i="10"/>
  <c r="J87" i="10"/>
  <c r="I87" i="10"/>
  <c r="G87" i="10"/>
  <c r="J86" i="10"/>
  <c r="I86" i="10"/>
  <c r="G86" i="10"/>
  <c r="J85" i="10"/>
  <c r="I85" i="10"/>
  <c r="G85" i="10"/>
  <c r="J84" i="10"/>
  <c r="I84" i="10"/>
  <c r="G84" i="10"/>
  <c r="J83" i="10"/>
  <c r="I83" i="10"/>
  <c r="G83" i="10"/>
  <c r="J82" i="10"/>
  <c r="I82" i="10"/>
  <c r="G82" i="10"/>
  <c r="J81" i="10"/>
  <c r="I81" i="10"/>
  <c r="G81" i="10"/>
  <c r="J80" i="10"/>
  <c r="I80" i="10"/>
  <c r="G80" i="10"/>
  <c r="J79" i="10"/>
  <c r="I79" i="10"/>
  <c r="G79" i="10"/>
  <c r="J78" i="10"/>
  <c r="I78" i="10"/>
  <c r="G78" i="10"/>
  <c r="J77" i="10"/>
  <c r="I77" i="10"/>
  <c r="G77" i="10"/>
  <c r="J76" i="10"/>
  <c r="I76" i="10"/>
  <c r="G76" i="10"/>
  <c r="J75" i="10"/>
  <c r="I75" i="10"/>
  <c r="G75" i="10"/>
  <c r="J74" i="10"/>
  <c r="I74" i="10"/>
  <c r="G74" i="10"/>
  <c r="J73" i="10"/>
  <c r="I73" i="10"/>
  <c r="G73" i="10"/>
  <c r="J72" i="10"/>
  <c r="I72" i="10"/>
  <c r="G72" i="10"/>
  <c r="J71" i="10"/>
  <c r="I71" i="10"/>
  <c r="G71" i="10"/>
  <c r="J70" i="10"/>
  <c r="I70" i="10"/>
  <c r="G70" i="10"/>
  <c r="J69" i="10"/>
  <c r="I69" i="10"/>
  <c r="G69" i="10"/>
  <c r="J68" i="10"/>
  <c r="I68" i="10"/>
  <c r="G68" i="10"/>
  <c r="J67" i="10"/>
  <c r="I67" i="10"/>
  <c r="G67" i="10"/>
  <c r="J66" i="10"/>
  <c r="I66" i="10"/>
  <c r="G66" i="10"/>
  <c r="J65" i="10"/>
  <c r="I65" i="10"/>
  <c r="G65" i="10"/>
  <c r="J64" i="10"/>
  <c r="I64" i="10"/>
  <c r="G64" i="10"/>
  <c r="J63" i="10"/>
  <c r="I63" i="10"/>
  <c r="G63" i="10"/>
  <c r="J62" i="10"/>
  <c r="I62" i="10"/>
  <c r="G62" i="10"/>
  <c r="J61" i="10"/>
  <c r="I61" i="10"/>
  <c r="G61" i="10"/>
  <c r="J60" i="10"/>
  <c r="I60" i="10"/>
  <c r="G60" i="10"/>
  <c r="J59" i="10"/>
  <c r="I59" i="10"/>
  <c r="G59" i="10"/>
  <c r="J58" i="10"/>
  <c r="I58" i="10"/>
  <c r="G58" i="10"/>
  <c r="J57" i="10"/>
  <c r="I57" i="10"/>
  <c r="G57" i="10"/>
  <c r="J56" i="10"/>
  <c r="I56" i="10"/>
  <c r="G56" i="10"/>
  <c r="J55" i="10"/>
  <c r="I55" i="10"/>
  <c r="G55" i="10"/>
  <c r="J54" i="10"/>
  <c r="I54" i="10"/>
  <c r="G54" i="10"/>
  <c r="J53" i="10"/>
  <c r="I53" i="10"/>
  <c r="G53" i="10"/>
  <c r="J52" i="10"/>
  <c r="I52" i="10"/>
  <c r="G52" i="10"/>
  <c r="J51" i="10"/>
  <c r="I51" i="10"/>
  <c r="G51" i="10"/>
  <c r="J50" i="10"/>
  <c r="I50" i="10"/>
  <c r="G50" i="10"/>
  <c r="J49" i="10"/>
  <c r="I49" i="10"/>
  <c r="G49" i="10"/>
  <c r="J48" i="10"/>
  <c r="I48" i="10"/>
  <c r="G48" i="10"/>
  <c r="J47" i="10"/>
  <c r="I47" i="10"/>
  <c r="G47" i="10"/>
  <c r="J46" i="10"/>
  <c r="I46" i="10"/>
  <c r="G46" i="10"/>
  <c r="J45" i="10"/>
  <c r="I45" i="10"/>
  <c r="G45" i="10"/>
  <c r="J44" i="10"/>
  <c r="I44" i="10"/>
  <c r="G44" i="10"/>
  <c r="J43" i="10"/>
  <c r="I43" i="10"/>
  <c r="G43" i="10"/>
  <c r="J42" i="10"/>
  <c r="I42" i="10"/>
  <c r="G42" i="10"/>
  <c r="J41" i="10"/>
  <c r="I41" i="10"/>
  <c r="G41" i="10"/>
  <c r="J40" i="10"/>
  <c r="I40" i="10"/>
  <c r="G40" i="10"/>
  <c r="J39" i="10"/>
  <c r="I39" i="10"/>
  <c r="G39" i="10"/>
  <c r="J38" i="10"/>
  <c r="I38" i="10"/>
  <c r="E34" i="13" s="1"/>
  <c r="J37" i="10"/>
  <c r="I37" i="10"/>
  <c r="E33" i="13" s="1"/>
  <c r="J36" i="10"/>
  <c r="I36" i="10"/>
  <c r="E32" i="13" s="1"/>
  <c r="J35" i="10"/>
  <c r="I35" i="10"/>
  <c r="E31" i="13" s="1"/>
  <c r="G35" i="10"/>
  <c r="J34" i="10"/>
  <c r="D30" i="13" s="1"/>
  <c r="I34" i="10"/>
  <c r="E30" i="13" s="1"/>
  <c r="G34" i="10"/>
  <c r="J33" i="10"/>
  <c r="D29" i="13" s="1"/>
  <c r="I33" i="10"/>
  <c r="E29" i="13" s="1"/>
  <c r="G33" i="10"/>
  <c r="J32" i="10"/>
  <c r="D28" i="13" s="1"/>
  <c r="I32" i="10"/>
  <c r="E28" i="13" s="1"/>
  <c r="G32" i="10"/>
  <c r="J31" i="10"/>
  <c r="D27" i="13" s="1"/>
  <c r="I31" i="10"/>
  <c r="E27" i="13" s="1"/>
  <c r="G31" i="10"/>
  <c r="E110" i="10"/>
  <c r="J30" i="10"/>
  <c r="D26" i="13" s="1"/>
  <c r="I30" i="10"/>
  <c r="E26" i="13" s="1"/>
  <c r="G30" i="10"/>
  <c r="J29" i="10"/>
  <c r="D25" i="13" s="1"/>
  <c r="I29" i="10"/>
  <c r="E25" i="13" s="1"/>
  <c r="G29" i="10"/>
  <c r="J28" i="10"/>
  <c r="D24" i="13" s="1"/>
  <c r="I28" i="10"/>
  <c r="E24" i="13" s="1"/>
  <c r="G28" i="10"/>
  <c r="J27" i="10"/>
  <c r="D23" i="13" s="1"/>
  <c r="I27" i="10"/>
  <c r="E23" i="13" s="1"/>
  <c r="G27" i="10"/>
  <c r="J26" i="10"/>
  <c r="D22" i="13" s="1"/>
  <c r="I26" i="10"/>
  <c r="E22" i="13" s="1"/>
  <c r="J25" i="10"/>
  <c r="D21" i="13" s="1"/>
  <c r="I25" i="10"/>
  <c r="E21" i="13" s="1"/>
  <c r="J24" i="10"/>
  <c r="D20" i="13" s="1"/>
  <c r="I24" i="10"/>
  <c r="E20" i="13" s="1"/>
  <c r="J23" i="10"/>
  <c r="D19" i="13" s="1"/>
  <c r="I23" i="10"/>
  <c r="E19" i="13" s="1"/>
  <c r="J22" i="10"/>
  <c r="D18" i="13" s="1"/>
  <c r="I22" i="10"/>
  <c r="E18" i="13" s="1"/>
  <c r="G22" i="10"/>
  <c r="J21" i="10"/>
  <c r="D17" i="13" s="1"/>
  <c r="I21" i="10"/>
  <c r="E17" i="13" s="1"/>
  <c r="G21" i="10"/>
  <c r="J20" i="10"/>
  <c r="D16" i="13" s="1"/>
  <c r="I20" i="10"/>
  <c r="E16" i="13" s="1"/>
  <c r="G20" i="10"/>
  <c r="J19" i="10"/>
  <c r="D15" i="13" s="1"/>
  <c r="I19" i="10"/>
  <c r="E15" i="13" s="1"/>
  <c r="G19" i="10"/>
  <c r="J18" i="10"/>
  <c r="D14" i="13" s="1"/>
  <c r="I18" i="10"/>
  <c r="E14" i="13" s="1"/>
  <c r="G18" i="10"/>
  <c r="J17" i="10"/>
  <c r="D13" i="13" s="1"/>
  <c r="I17" i="10"/>
  <c r="E13" i="13" s="1"/>
  <c r="G17" i="10"/>
  <c r="J16" i="10"/>
  <c r="D12" i="13" s="1"/>
  <c r="I16" i="10"/>
  <c r="E12" i="13" s="1"/>
  <c r="G16" i="10"/>
  <c r="J15" i="10"/>
  <c r="D11" i="13" s="1"/>
  <c r="I15" i="10"/>
  <c r="E11" i="13" s="1"/>
  <c r="G15" i="10"/>
  <c r="J14" i="10"/>
  <c r="D10" i="13" s="1"/>
  <c r="I14" i="10"/>
  <c r="E10" i="13" s="1"/>
  <c r="G14" i="10"/>
  <c r="J13" i="10"/>
  <c r="D9" i="13" s="1"/>
  <c r="I13" i="10"/>
  <c r="E9" i="13" s="1"/>
  <c r="G13" i="10"/>
  <c r="J12" i="10"/>
  <c r="I12" i="10"/>
  <c r="E8" i="13" s="1"/>
  <c r="G12" i="10"/>
  <c r="J11" i="10"/>
  <c r="I11" i="10"/>
  <c r="G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J10" i="10"/>
  <c r="I10" i="10"/>
  <c r="E6" i="13" s="1"/>
  <c r="G10" i="10"/>
  <c r="A1" i="10"/>
  <c r="B16" i="8"/>
  <c r="V5" i="8"/>
  <c r="AI5" i="8" s="1"/>
  <c r="AV5" i="8" s="1"/>
  <c r="BI5" i="8" s="1"/>
  <c r="BV5" i="8" s="1"/>
  <c r="U5" i="8"/>
  <c r="AH5" i="8" s="1"/>
  <c r="AU5" i="8" s="1"/>
  <c r="BH5" i="8" s="1"/>
  <c r="BU5" i="8" s="1"/>
  <c r="T5" i="8"/>
  <c r="AG5" i="8" s="1"/>
  <c r="AT5" i="8" s="1"/>
  <c r="BG5" i="8" s="1"/>
  <c r="BT5" i="8" s="1"/>
  <c r="S5" i="8"/>
  <c r="AF5" i="8" s="1"/>
  <c r="AS5" i="8" s="1"/>
  <c r="BF5" i="8" s="1"/>
  <c r="BS5" i="8" s="1"/>
  <c r="R5" i="8"/>
  <c r="AE5" i="8" s="1"/>
  <c r="AR5" i="8" s="1"/>
  <c r="BE5" i="8" s="1"/>
  <c r="BR5" i="8" s="1"/>
  <c r="Q5" i="8"/>
  <c r="AD5" i="8" s="1"/>
  <c r="AQ5" i="8" s="1"/>
  <c r="BD5" i="8" s="1"/>
  <c r="BQ5" i="8" s="1"/>
  <c r="P5" i="8"/>
  <c r="AC5" i="8" s="1"/>
  <c r="AP5" i="8" s="1"/>
  <c r="BC5" i="8" s="1"/>
  <c r="BP5" i="8" s="1"/>
  <c r="O5" i="8"/>
  <c r="AB5" i="8" s="1"/>
  <c r="AO5" i="8" s="1"/>
  <c r="BB5" i="8" s="1"/>
  <c r="BO5" i="8" s="1"/>
  <c r="N5" i="8"/>
  <c r="AA5" i="8" s="1"/>
  <c r="AN5" i="8" s="1"/>
  <c r="BA5" i="8" s="1"/>
  <c r="BN5" i="8" s="1"/>
  <c r="M5" i="8"/>
  <c r="Z5" i="8" s="1"/>
  <c r="AM5" i="8" s="1"/>
  <c r="AZ5" i="8" s="1"/>
  <c r="BM5" i="8" s="1"/>
  <c r="L5" i="8"/>
  <c r="Y5" i="8" s="1"/>
  <c r="AL5" i="8" s="1"/>
  <c r="AY5" i="8" s="1"/>
  <c r="BL5" i="8" s="1"/>
  <c r="K5" i="8"/>
  <c r="X5" i="8" s="1"/>
  <c r="AK5" i="8" s="1"/>
  <c r="AX5" i="8" s="1"/>
  <c r="BK5" i="8" s="1"/>
  <c r="A1" i="8"/>
  <c r="W76" i="7"/>
  <c r="V76" i="7"/>
  <c r="U72" i="7"/>
  <c r="T72" i="7"/>
  <c r="S72" i="7"/>
  <c r="T60" i="7"/>
  <c r="S60" i="7"/>
  <c r="R60" i="7"/>
  <c r="Q60" i="7"/>
  <c r="P60" i="7"/>
  <c r="O60" i="7"/>
  <c r="W59" i="7"/>
  <c r="V59" i="7"/>
  <c r="U59" i="7"/>
  <c r="T59" i="7"/>
  <c r="S59" i="7"/>
  <c r="R59" i="7"/>
  <c r="Q59" i="7"/>
  <c r="P59" i="7"/>
  <c r="O59" i="7"/>
  <c r="N59" i="7"/>
  <c r="W58" i="7"/>
  <c r="V58" i="7"/>
  <c r="U58" i="7"/>
  <c r="T58" i="7"/>
  <c r="S58" i="7"/>
  <c r="R58" i="7"/>
  <c r="Q58" i="7"/>
  <c r="P58" i="7"/>
  <c r="O58" i="7"/>
  <c r="N58" i="7"/>
  <c r="M58" i="7"/>
  <c r="L58" i="7"/>
  <c r="W57" i="7"/>
  <c r="V57" i="7"/>
  <c r="U57" i="7"/>
  <c r="T57" i="7"/>
  <c r="S57" i="7"/>
  <c r="R57" i="7"/>
  <c r="Q57" i="7"/>
  <c r="P57" i="7"/>
  <c r="O57" i="7"/>
  <c r="N57" i="7"/>
  <c r="M57" i="7"/>
  <c r="L57" i="7"/>
  <c r="W56" i="7"/>
  <c r="V56" i="7"/>
  <c r="U56" i="7"/>
  <c r="T56" i="7"/>
  <c r="S56" i="7"/>
  <c r="R56" i="7"/>
  <c r="Q56" i="7"/>
  <c r="P56" i="7"/>
  <c r="O56" i="7"/>
  <c r="N56" i="7"/>
  <c r="M56" i="7"/>
  <c r="W55" i="7"/>
  <c r="V55" i="7"/>
  <c r="U55" i="7"/>
  <c r="T55" i="7"/>
  <c r="S55" i="7"/>
  <c r="R55" i="7"/>
  <c r="Q55" i="7"/>
  <c r="P55" i="7"/>
  <c r="O55" i="7"/>
  <c r="N55" i="7"/>
  <c r="M55" i="7"/>
  <c r="L55" i="7"/>
  <c r="W54" i="7"/>
  <c r="V54" i="7"/>
  <c r="U54" i="7"/>
  <c r="T54" i="7"/>
  <c r="S54" i="7"/>
  <c r="R54" i="7"/>
  <c r="Q54" i="7"/>
  <c r="P54" i="7"/>
  <c r="O54" i="7"/>
  <c r="N54" i="7"/>
  <c r="M54" i="7"/>
  <c r="L54" i="7"/>
  <c r="W53" i="7"/>
  <c r="V53" i="7"/>
  <c r="T53" i="7"/>
  <c r="S53" i="7"/>
  <c r="R53" i="7"/>
  <c r="P53" i="7"/>
  <c r="O53" i="7"/>
  <c r="N53" i="7"/>
  <c r="L53" i="7"/>
  <c r="W73" i="7"/>
  <c r="V52" i="7"/>
  <c r="U52" i="7"/>
  <c r="T52" i="7"/>
  <c r="S73" i="7"/>
  <c r="R52" i="7"/>
  <c r="Q52" i="7"/>
  <c r="O73" i="7"/>
  <c r="N52" i="7"/>
  <c r="X7" i="7"/>
  <c r="W5" i="7"/>
  <c r="AJ5" i="7" s="1"/>
  <c r="AW5" i="7" s="1"/>
  <c r="BJ5" i="7" s="1"/>
  <c r="BW5" i="7" s="1"/>
  <c r="V5" i="7"/>
  <c r="AI5" i="7" s="1"/>
  <c r="AV5" i="7" s="1"/>
  <c r="BI5" i="7" s="1"/>
  <c r="BV5" i="7" s="1"/>
  <c r="U5" i="7"/>
  <c r="AH5" i="7" s="1"/>
  <c r="AU5" i="7" s="1"/>
  <c r="BH5" i="7" s="1"/>
  <c r="BU5" i="7" s="1"/>
  <c r="T5" i="7"/>
  <c r="AG5" i="7" s="1"/>
  <c r="AT5" i="7" s="1"/>
  <c r="BG5" i="7" s="1"/>
  <c r="BT5" i="7" s="1"/>
  <c r="S5" i="7"/>
  <c r="AF5" i="7" s="1"/>
  <c r="AS5" i="7" s="1"/>
  <c r="BF5" i="7" s="1"/>
  <c r="BS5" i="7" s="1"/>
  <c r="R5" i="7"/>
  <c r="AE5" i="7" s="1"/>
  <c r="AR5" i="7" s="1"/>
  <c r="BE5" i="7" s="1"/>
  <c r="BR5" i="7" s="1"/>
  <c r="Q5" i="7"/>
  <c r="AD5" i="7" s="1"/>
  <c r="AQ5" i="7" s="1"/>
  <c r="BD5" i="7" s="1"/>
  <c r="BQ5" i="7" s="1"/>
  <c r="P5" i="7"/>
  <c r="AC5" i="7" s="1"/>
  <c r="AP5" i="7" s="1"/>
  <c r="BC5" i="7" s="1"/>
  <c r="BP5" i="7" s="1"/>
  <c r="O5" i="7"/>
  <c r="AB5" i="7" s="1"/>
  <c r="AO5" i="7" s="1"/>
  <c r="BB5" i="7" s="1"/>
  <c r="BO5" i="7" s="1"/>
  <c r="N5" i="7"/>
  <c r="AA5" i="7" s="1"/>
  <c r="AN5" i="7" s="1"/>
  <c r="BA5" i="7" s="1"/>
  <c r="BN5" i="7" s="1"/>
  <c r="M5" i="7"/>
  <c r="Z5" i="7" s="1"/>
  <c r="AM5" i="7" s="1"/>
  <c r="AZ5" i="7" s="1"/>
  <c r="BM5" i="7" s="1"/>
  <c r="L5" i="7"/>
  <c r="Y5" i="7" s="1"/>
  <c r="AL5" i="7" s="1"/>
  <c r="AY5" i="7" s="1"/>
  <c r="BL5" i="7" s="1"/>
  <c r="A1" i="7"/>
  <c r="BR89" i="6"/>
  <c r="BQ89" i="6"/>
  <c r="BP89" i="6"/>
  <c r="BO89" i="6"/>
  <c r="BN89" i="6"/>
  <c r="BM89" i="6"/>
  <c r="BL89" i="6"/>
  <c r="BK89" i="6"/>
  <c r="BJ89" i="6"/>
  <c r="BI89" i="6"/>
  <c r="BH89" i="6"/>
  <c r="BG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E89" i="6"/>
  <c r="AD89" i="6"/>
  <c r="AC89" i="6"/>
  <c r="AB89" i="6"/>
  <c r="AA89" i="6"/>
  <c r="Z89" i="6"/>
  <c r="Y89" i="6"/>
  <c r="X89" i="6"/>
  <c r="W89" i="6"/>
  <c r="V89" i="6"/>
  <c r="U89" i="6"/>
  <c r="T89" i="6"/>
  <c r="R89" i="6"/>
  <c r="Q89" i="6"/>
  <c r="P89" i="6"/>
  <c r="O89" i="6"/>
  <c r="N89" i="6"/>
  <c r="M89" i="6"/>
  <c r="L89" i="6"/>
  <c r="K89" i="6"/>
  <c r="J89" i="6"/>
  <c r="I89" i="6"/>
  <c r="H89" i="6"/>
  <c r="G88" i="6"/>
  <c r="BT88" i="6" s="1"/>
  <c r="BR81" i="6"/>
  <c r="BQ81" i="6"/>
  <c r="BP81" i="6"/>
  <c r="BO81" i="6"/>
  <c r="BN81" i="6"/>
  <c r="BM81" i="6"/>
  <c r="BL81" i="6"/>
  <c r="BK81" i="6"/>
  <c r="BJ81" i="6"/>
  <c r="BI81" i="6"/>
  <c r="BH81" i="6"/>
  <c r="BG81" i="6"/>
  <c r="BS81" i="6" s="1"/>
  <c r="BE81" i="6"/>
  <c r="BD81" i="6"/>
  <c r="BC81" i="6"/>
  <c r="BB81" i="6"/>
  <c r="BA81" i="6"/>
  <c r="AZ81" i="6"/>
  <c r="AY81" i="6"/>
  <c r="AX81" i="6"/>
  <c r="AW81" i="6"/>
  <c r="AV81" i="6"/>
  <c r="AU81" i="6"/>
  <c r="AT81" i="6"/>
  <c r="BF81" i="6" s="1"/>
  <c r="AR81" i="6"/>
  <c r="AQ81" i="6"/>
  <c r="AP81" i="6"/>
  <c r="AO81" i="6"/>
  <c r="AN81" i="6"/>
  <c r="AM81" i="6"/>
  <c r="AL81" i="6"/>
  <c r="AK81" i="6"/>
  <c r="AJ81" i="6"/>
  <c r="AI81" i="6"/>
  <c r="AH81" i="6"/>
  <c r="AG81" i="6"/>
  <c r="AS81" i="6" s="1"/>
  <c r="AE81" i="6"/>
  <c r="AD81" i="6"/>
  <c r="AC81" i="6"/>
  <c r="AB81" i="6"/>
  <c r="AA81" i="6"/>
  <c r="Z81" i="6"/>
  <c r="Y81" i="6"/>
  <c r="X81" i="6"/>
  <c r="W81" i="6"/>
  <c r="V81" i="6"/>
  <c r="U81" i="6"/>
  <c r="T81" i="6"/>
  <c r="AF81" i="6" s="1"/>
  <c r="R81" i="6"/>
  <c r="Q81" i="6"/>
  <c r="P81" i="6"/>
  <c r="O81" i="6"/>
  <c r="N81" i="6"/>
  <c r="M81" i="6"/>
  <c r="L81" i="6"/>
  <c r="K81" i="6"/>
  <c r="J81" i="6"/>
  <c r="I81" i="6"/>
  <c r="H81" i="6"/>
  <c r="G81" i="6"/>
  <c r="BS80" i="6"/>
  <c r="BF80" i="6"/>
  <c r="AS80" i="6"/>
  <c r="AF80" i="6"/>
  <c r="G80" i="6"/>
  <c r="S80" i="6" s="1"/>
  <c r="BR79" i="6"/>
  <c r="BQ79" i="6"/>
  <c r="BP79" i="6"/>
  <c r="BO79" i="6"/>
  <c r="BN79" i="6"/>
  <c r="BM79" i="6"/>
  <c r="BL79" i="6"/>
  <c r="BK79" i="6"/>
  <c r="BJ79" i="6"/>
  <c r="BI79" i="6"/>
  <c r="BH79" i="6"/>
  <c r="BG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E79" i="6"/>
  <c r="AD79" i="6"/>
  <c r="AC79" i="6"/>
  <c r="AB79" i="6"/>
  <c r="AA79" i="6"/>
  <c r="Z79" i="6"/>
  <c r="Y79" i="6"/>
  <c r="X79" i="6"/>
  <c r="W79" i="6"/>
  <c r="V79" i="6"/>
  <c r="U79" i="6"/>
  <c r="T79" i="6"/>
  <c r="R79" i="6"/>
  <c r="Q79" i="6"/>
  <c r="P79" i="6"/>
  <c r="O79" i="6"/>
  <c r="N79" i="6"/>
  <c r="M79" i="6"/>
  <c r="L79" i="6"/>
  <c r="K79" i="6"/>
  <c r="J79" i="6"/>
  <c r="I79" i="6"/>
  <c r="H79" i="6"/>
  <c r="G79" i="6"/>
  <c r="BT78" i="6"/>
  <c r="S78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S74" i="6" s="1"/>
  <c r="BE74" i="6"/>
  <c r="BD74" i="6"/>
  <c r="BC74" i="6"/>
  <c r="BB74" i="6"/>
  <c r="BA74" i="6"/>
  <c r="AZ74" i="6"/>
  <c r="AY74" i="6"/>
  <c r="AX74" i="6"/>
  <c r="AW74" i="6"/>
  <c r="AV74" i="6"/>
  <c r="AU74" i="6"/>
  <c r="AT74" i="6"/>
  <c r="BF74" i="6" s="1"/>
  <c r="AR74" i="6"/>
  <c r="AQ74" i="6"/>
  <c r="AP74" i="6"/>
  <c r="AO74" i="6"/>
  <c r="AN74" i="6"/>
  <c r="AM74" i="6"/>
  <c r="AL74" i="6"/>
  <c r="AK74" i="6"/>
  <c r="AJ74" i="6"/>
  <c r="AI74" i="6"/>
  <c r="AH74" i="6"/>
  <c r="AG74" i="6"/>
  <c r="AS74" i="6" s="1"/>
  <c r="AE74" i="6"/>
  <c r="AD74" i="6"/>
  <c r="AC74" i="6"/>
  <c r="AB74" i="6"/>
  <c r="AA74" i="6"/>
  <c r="Z74" i="6"/>
  <c r="Y74" i="6"/>
  <c r="X74" i="6"/>
  <c r="W74" i="6"/>
  <c r="V74" i="6"/>
  <c r="U74" i="6"/>
  <c r="T74" i="6"/>
  <c r="AF74" i="6" s="1"/>
  <c r="R74" i="6"/>
  <c r="Q74" i="6"/>
  <c r="P74" i="6"/>
  <c r="O74" i="6"/>
  <c r="N74" i="6"/>
  <c r="M74" i="6"/>
  <c r="L74" i="6"/>
  <c r="K74" i="6"/>
  <c r="J74" i="6"/>
  <c r="I74" i="6"/>
  <c r="H74" i="6"/>
  <c r="G74" i="6"/>
  <c r="BS73" i="6"/>
  <c r="BF73" i="6"/>
  <c r="AS73" i="6"/>
  <c r="AF73" i="6"/>
  <c r="G73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E72" i="6"/>
  <c r="AD72" i="6"/>
  <c r="AC72" i="6"/>
  <c r="AB72" i="6"/>
  <c r="AA72" i="6"/>
  <c r="Z72" i="6"/>
  <c r="Y72" i="6"/>
  <c r="X72" i="6"/>
  <c r="W72" i="6"/>
  <c r="V72" i="6"/>
  <c r="U72" i="6"/>
  <c r="T72" i="6"/>
  <c r="R72" i="6"/>
  <c r="Q72" i="6"/>
  <c r="P72" i="6"/>
  <c r="O72" i="6"/>
  <c r="N72" i="6"/>
  <c r="M72" i="6"/>
  <c r="L72" i="6"/>
  <c r="K72" i="6"/>
  <c r="J72" i="6"/>
  <c r="I72" i="6"/>
  <c r="H72" i="6"/>
  <c r="G72" i="6"/>
  <c r="BT71" i="6"/>
  <c r="S71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S67" i="6" s="1"/>
  <c r="BE67" i="6"/>
  <c r="BD67" i="6"/>
  <c r="BC67" i="6"/>
  <c r="BB67" i="6"/>
  <c r="BA67" i="6"/>
  <c r="AZ67" i="6"/>
  <c r="AY67" i="6"/>
  <c r="AX67" i="6"/>
  <c r="AW67" i="6"/>
  <c r="AV67" i="6"/>
  <c r="AU67" i="6"/>
  <c r="AT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S67" i="6" s="1"/>
  <c r="AE67" i="6"/>
  <c r="AD67" i="6"/>
  <c r="AC67" i="6"/>
  <c r="AB67" i="6"/>
  <c r="AA67" i="6"/>
  <c r="Z67" i="6"/>
  <c r="Y67" i="6"/>
  <c r="X67" i="6"/>
  <c r="W67" i="6"/>
  <c r="V67" i="6"/>
  <c r="U67" i="6"/>
  <c r="T67" i="6"/>
  <c r="AF67" i="6" s="1"/>
  <c r="S67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E66" i="6"/>
  <c r="AD66" i="6"/>
  <c r="AC66" i="6"/>
  <c r="AB66" i="6"/>
  <c r="AA66" i="6"/>
  <c r="Z66" i="6"/>
  <c r="Y66" i="6"/>
  <c r="X66" i="6"/>
  <c r="W66" i="6"/>
  <c r="V66" i="6"/>
  <c r="U66" i="6"/>
  <c r="T66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E65" i="6"/>
  <c r="AD65" i="6"/>
  <c r="AC65" i="6"/>
  <c r="AB65" i="6"/>
  <c r="AA65" i="6"/>
  <c r="Z65" i="6"/>
  <c r="Y65" i="6"/>
  <c r="X65" i="6"/>
  <c r="W65" i="6"/>
  <c r="V65" i="6"/>
  <c r="U65" i="6"/>
  <c r="T65" i="6"/>
  <c r="R65" i="6"/>
  <c r="Q65" i="6"/>
  <c r="P65" i="6"/>
  <c r="O65" i="6"/>
  <c r="N65" i="6"/>
  <c r="M65" i="6"/>
  <c r="L65" i="6"/>
  <c r="K65" i="6"/>
  <c r="J65" i="6"/>
  <c r="I65" i="6"/>
  <c r="H65" i="6"/>
  <c r="G65" i="6"/>
  <c r="BT64" i="6"/>
  <c r="S64" i="6"/>
  <c r="R59" i="6"/>
  <c r="R95" i="6" s="1"/>
  <c r="Q59" i="6"/>
  <c r="Q95" i="6" s="1"/>
  <c r="P59" i="6"/>
  <c r="P95" i="6" s="1"/>
  <c r="O59" i="6"/>
  <c r="O95" i="6" s="1"/>
  <c r="N59" i="6"/>
  <c r="N95" i="6" s="1"/>
  <c r="M59" i="6"/>
  <c r="M95" i="6" s="1"/>
  <c r="L59" i="6"/>
  <c r="L95" i="6" s="1"/>
  <c r="K59" i="6"/>
  <c r="K95" i="6" s="1"/>
  <c r="J59" i="6"/>
  <c r="J95" i="6" s="1"/>
  <c r="I59" i="6"/>
  <c r="H59" i="6"/>
  <c r="G59" i="6"/>
  <c r="BS58" i="6"/>
  <c r="BF58" i="6"/>
  <c r="AS58" i="6"/>
  <c r="AF58" i="6"/>
  <c r="S58" i="6"/>
  <c r="BS57" i="6"/>
  <c r="BF57" i="6"/>
  <c r="AS57" i="6"/>
  <c r="AF57" i="6"/>
  <c r="S57" i="6"/>
  <c r="BS56" i="6"/>
  <c r="BF56" i="6"/>
  <c r="AS56" i="6"/>
  <c r="AF56" i="6"/>
  <c r="S56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BT52" i="6"/>
  <c r="S52" i="6"/>
  <c r="BR45" i="6"/>
  <c r="BR53" i="6" s="1"/>
  <c r="BQ45" i="6"/>
  <c r="BP45" i="6"/>
  <c r="BO45" i="6"/>
  <c r="BN45" i="6"/>
  <c r="BN53" i="6" s="1"/>
  <c r="BM45" i="6"/>
  <c r="BL45" i="6"/>
  <c r="BK45" i="6"/>
  <c r="BJ45" i="6"/>
  <c r="BJ53" i="6" s="1"/>
  <c r="BI45" i="6"/>
  <c r="BH45" i="6"/>
  <c r="BH53" i="6" s="1"/>
  <c r="BG45" i="6"/>
  <c r="BE45" i="6"/>
  <c r="BD45" i="6"/>
  <c r="BD53" i="6" s="1"/>
  <c r="BC45" i="6"/>
  <c r="BB45" i="6"/>
  <c r="BB53" i="6" s="1"/>
  <c r="BA45" i="6"/>
  <c r="AZ45" i="6"/>
  <c r="AY45" i="6"/>
  <c r="AX45" i="6"/>
  <c r="AX53" i="6" s="1"/>
  <c r="AW45" i="6"/>
  <c r="AV45" i="6"/>
  <c r="AU45" i="6"/>
  <c r="AT45" i="6"/>
  <c r="AT53" i="6" s="1"/>
  <c r="AR45" i="6"/>
  <c r="AR53" i="6" s="1"/>
  <c r="AQ45" i="6"/>
  <c r="AP45" i="6"/>
  <c r="AO45" i="6"/>
  <c r="AN45" i="6"/>
  <c r="AN53" i="6" s="1"/>
  <c r="AM45" i="6"/>
  <c r="AL45" i="6"/>
  <c r="AK45" i="6"/>
  <c r="AJ45" i="6"/>
  <c r="AI45" i="6"/>
  <c r="AH45" i="6"/>
  <c r="AG45" i="6"/>
  <c r="AE45" i="6"/>
  <c r="AE53" i="6" s="1"/>
  <c r="AD45" i="6"/>
  <c r="AC45" i="6"/>
  <c r="AB45" i="6"/>
  <c r="AB53" i="6" s="1"/>
  <c r="AA45" i="6"/>
  <c r="AA53" i="6" s="1"/>
  <c r="Z45" i="6"/>
  <c r="Z53" i="6" s="1"/>
  <c r="Y45" i="6"/>
  <c r="X45" i="6"/>
  <c r="X53" i="6" s="1"/>
  <c r="W45" i="6"/>
  <c r="W53" i="6" s="1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B45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BS8" i="6"/>
  <c r="BS45" i="6" s="1"/>
  <c r="BF8" i="6"/>
  <c r="BF45" i="6" s="1"/>
  <c r="AS8" i="6"/>
  <c r="AS45" i="6" s="1"/>
  <c r="AF8" i="6"/>
  <c r="AF45" i="6" s="1"/>
  <c r="S8" i="6"/>
  <c r="R5" i="6"/>
  <c r="AE5" i="6" s="1"/>
  <c r="AR5" i="6" s="1"/>
  <c r="BE5" i="6" s="1"/>
  <c r="BR5" i="6" s="1"/>
  <c r="Q5" i="6"/>
  <c r="AD5" i="6" s="1"/>
  <c r="AQ5" i="6" s="1"/>
  <c r="BD5" i="6" s="1"/>
  <c r="BQ5" i="6" s="1"/>
  <c r="P5" i="6"/>
  <c r="AC5" i="6" s="1"/>
  <c r="AP5" i="6" s="1"/>
  <c r="BC5" i="6" s="1"/>
  <c r="BP5" i="6" s="1"/>
  <c r="O5" i="6"/>
  <c r="AB5" i="6" s="1"/>
  <c r="AO5" i="6" s="1"/>
  <c r="BB5" i="6" s="1"/>
  <c r="BO5" i="6" s="1"/>
  <c r="N5" i="6"/>
  <c r="AA5" i="6" s="1"/>
  <c r="AN5" i="6" s="1"/>
  <c r="BA5" i="6" s="1"/>
  <c r="BN5" i="6" s="1"/>
  <c r="M5" i="6"/>
  <c r="Z5" i="6" s="1"/>
  <c r="AM5" i="6" s="1"/>
  <c r="AZ5" i="6" s="1"/>
  <c r="BM5" i="6" s="1"/>
  <c r="L5" i="6"/>
  <c r="Y5" i="6" s="1"/>
  <c r="AL5" i="6" s="1"/>
  <c r="AY5" i="6" s="1"/>
  <c r="BL5" i="6" s="1"/>
  <c r="K5" i="6"/>
  <c r="X5" i="6" s="1"/>
  <c r="AK5" i="6" s="1"/>
  <c r="AX5" i="6" s="1"/>
  <c r="BK5" i="6" s="1"/>
  <c r="J5" i="6"/>
  <c r="W5" i="6" s="1"/>
  <c r="AJ5" i="6" s="1"/>
  <c r="AW5" i="6" s="1"/>
  <c r="BJ5" i="6" s="1"/>
  <c r="I5" i="6"/>
  <c r="V5" i="6" s="1"/>
  <c r="AI5" i="6" s="1"/>
  <c r="AV5" i="6" s="1"/>
  <c r="BI5" i="6" s="1"/>
  <c r="H5" i="6"/>
  <c r="U5" i="6" s="1"/>
  <c r="AH5" i="6" s="1"/>
  <c r="AU5" i="6" s="1"/>
  <c r="BH5" i="6" s="1"/>
  <c r="G5" i="6"/>
  <c r="T5" i="6" s="1"/>
  <c r="AG5" i="6" s="1"/>
  <c r="AT5" i="6" s="1"/>
  <c r="BG5" i="6" s="1"/>
  <c r="A1" i="6"/>
  <c r="B59" i="5"/>
  <c r="G41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E36" i="4"/>
  <c r="AD36" i="4"/>
  <c r="AC36" i="4"/>
  <c r="AB36" i="4"/>
  <c r="AA36" i="4"/>
  <c r="Z36" i="4"/>
  <c r="Y36" i="4"/>
  <c r="X36" i="4"/>
  <c r="W36" i="4"/>
  <c r="V36" i="4"/>
  <c r="U36" i="4"/>
  <c r="T36" i="4"/>
  <c r="R36" i="4"/>
  <c r="Q36" i="4"/>
  <c r="P36" i="4"/>
  <c r="O36" i="4"/>
  <c r="N36" i="4"/>
  <c r="M36" i="4"/>
  <c r="L36" i="4"/>
  <c r="K36" i="4"/>
  <c r="J36" i="4"/>
  <c r="I36" i="4"/>
  <c r="H36" i="4"/>
  <c r="G36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E35" i="4"/>
  <c r="AD35" i="4"/>
  <c r="AC35" i="4"/>
  <c r="AB35" i="4"/>
  <c r="AA35" i="4"/>
  <c r="Z35" i="4"/>
  <c r="Y35" i="4"/>
  <c r="X35" i="4"/>
  <c r="W35" i="4"/>
  <c r="V35" i="4"/>
  <c r="U35" i="4"/>
  <c r="T35" i="4"/>
  <c r="R35" i="4"/>
  <c r="Q35" i="4"/>
  <c r="P35" i="4"/>
  <c r="O35" i="4"/>
  <c r="N35" i="4"/>
  <c r="M35" i="4"/>
  <c r="L35" i="4"/>
  <c r="K35" i="4"/>
  <c r="J35" i="4"/>
  <c r="I35" i="4"/>
  <c r="H35" i="4"/>
  <c r="G35" i="4"/>
  <c r="BR19" i="4"/>
  <c r="BQ19" i="4"/>
  <c r="BP19" i="4"/>
  <c r="BO19" i="4"/>
  <c r="BN19" i="4"/>
  <c r="BM19" i="4"/>
  <c r="BL19" i="4"/>
  <c r="BK19" i="4"/>
  <c r="BJ19" i="4"/>
  <c r="BI19" i="4"/>
  <c r="R119" i="1" s="1"/>
  <c r="BH19" i="4"/>
  <c r="BG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R19" i="4"/>
  <c r="AQ19" i="4"/>
  <c r="AP19" i="4"/>
  <c r="AO19" i="4"/>
  <c r="AN19" i="4"/>
  <c r="AM19" i="4"/>
  <c r="AL19" i="4"/>
  <c r="AK19" i="4"/>
  <c r="AJ19" i="4"/>
  <c r="AI19" i="4"/>
  <c r="L119" i="1" s="1"/>
  <c r="AH19" i="4"/>
  <c r="AG19" i="4"/>
  <c r="AE19" i="4"/>
  <c r="AD19" i="4"/>
  <c r="AC19" i="4"/>
  <c r="AB19" i="4"/>
  <c r="AA19" i="4"/>
  <c r="Z19" i="4"/>
  <c r="Y19" i="4"/>
  <c r="X19" i="4"/>
  <c r="W19" i="4"/>
  <c r="V19" i="4"/>
  <c r="I119" i="1" s="1"/>
  <c r="U19" i="4"/>
  <c r="T19" i="4"/>
  <c r="R19" i="4"/>
  <c r="Q19" i="4"/>
  <c r="P19" i="4"/>
  <c r="O19" i="4"/>
  <c r="N19" i="4"/>
  <c r="M19" i="4"/>
  <c r="L19" i="4"/>
  <c r="K19" i="4"/>
  <c r="J19" i="4"/>
  <c r="I19" i="4"/>
  <c r="H19" i="4"/>
  <c r="G19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E18" i="4"/>
  <c r="AD18" i="4"/>
  <c r="AC18" i="4"/>
  <c r="AB18" i="4"/>
  <c r="AA18" i="4"/>
  <c r="Z18" i="4"/>
  <c r="Y18" i="4"/>
  <c r="X18" i="4"/>
  <c r="W18" i="4"/>
  <c r="V18" i="4"/>
  <c r="I118" i="1" s="1"/>
  <c r="U18" i="4"/>
  <c r="T18" i="4"/>
  <c r="R18" i="4"/>
  <c r="Q18" i="4"/>
  <c r="P18" i="4"/>
  <c r="O18" i="4"/>
  <c r="N18" i="4"/>
  <c r="M18" i="4"/>
  <c r="L18" i="4"/>
  <c r="K18" i="4"/>
  <c r="J18" i="4"/>
  <c r="I18" i="4"/>
  <c r="H18" i="4"/>
  <c r="G18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E16" i="4"/>
  <c r="AD16" i="4"/>
  <c r="AC16" i="4"/>
  <c r="AB16" i="4"/>
  <c r="AA16" i="4"/>
  <c r="Z16" i="4"/>
  <c r="Y16" i="4"/>
  <c r="X16" i="4"/>
  <c r="W16" i="4"/>
  <c r="V16" i="4"/>
  <c r="U16" i="4"/>
  <c r="T16" i="4"/>
  <c r="R16" i="4"/>
  <c r="Q16" i="4"/>
  <c r="P16" i="4"/>
  <c r="O16" i="4"/>
  <c r="N16" i="4"/>
  <c r="M16" i="4"/>
  <c r="L16" i="4"/>
  <c r="K16" i="4"/>
  <c r="J16" i="4"/>
  <c r="I16" i="4"/>
  <c r="H16" i="4"/>
  <c r="G16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E15" i="4"/>
  <c r="BD15" i="4"/>
  <c r="BC15" i="4"/>
  <c r="BB15" i="4"/>
  <c r="BA15" i="4"/>
  <c r="AZ15" i="4"/>
  <c r="AY15" i="4"/>
  <c r="AX15" i="4"/>
  <c r="AW15" i="4"/>
  <c r="AV15" i="4"/>
  <c r="O115" i="1" s="1"/>
  <c r="AU15" i="4"/>
  <c r="AT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E15" i="4"/>
  <c r="AD15" i="4"/>
  <c r="AC15" i="4"/>
  <c r="AB15" i="4"/>
  <c r="AA15" i="4"/>
  <c r="Z15" i="4"/>
  <c r="Y15" i="4"/>
  <c r="X15" i="4"/>
  <c r="W15" i="4"/>
  <c r="V15" i="4"/>
  <c r="U15" i="4"/>
  <c r="T15" i="4"/>
  <c r="R15" i="4"/>
  <c r="Q15" i="4"/>
  <c r="P15" i="4"/>
  <c r="O15" i="4"/>
  <c r="N15" i="4"/>
  <c r="M15" i="4"/>
  <c r="L15" i="4"/>
  <c r="K15" i="4"/>
  <c r="J15" i="4"/>
  <c r="I15" i="4"/>
  <c r="H15" i="4"/>
  <c r="G15" i="4"/>
  <c r="G13" i="4"/>
  <c r="R5" i="4"/>
  <c r="AE5" i="4" s="1"/>
  <c r="AR5" i="4" s="1"/>
  <c r="BE5" i="4" s="1"/>
  <c r="BR5" i="4" s="1"/>
  <c r="Q5" i="4"/>
  <c r="AD5" i="4" s="1"/>
  <c r="AQ5" i="4" s="1"/>
  <c r="BD5" i="4" s="1"/>
  <c r="BQ5" i="4" s="1"/>
  <c r="P5" i="4"/>
  <c r="AC5" i="4" s="1"/>
  <c r="AP5" i="4" s="1"/>
  <c r="BC5" i="4" s="1"/>
  <c r="BP5" i="4" s="1"/>
  <c r="O5" i="4"/>
  <c r="AB5" i="4" s="1"/>
  <c r="AO5" i="4" s="1"/>
  <c r="BB5" i="4" s="1"/>
  <c r="BO5" i="4" s="1"/>
  <c r="N5" i="4"/>
  <c r="AA5" i="4" s="1"/>
  <c r="AN5" i="4" s="1"/>
  <c r="BA5" i="4" s="1"/>
  <c r="BN5" i="4" s="1"/>
  <c r="M5" i="4"/>
  <c r="Z5" i="4" s="1"/>
  <c r="AM5" i="4" s="1"/>
  <c r="AZ5" i="4" s="1"/>
  <c r="BM5" i="4" s="1"/>
  <c r="L5" i="4"/>
  <c r="Y5" i="4" s="1"/>
  <c r="AL5" i="4" s="1"/>
  <c r="AY5" i="4" s="1"/>
  <c r="BL5" i="4" s="1"/>
  <c r="K5" i="4"/>
  <c r="X5" i="4" s="1"/>
  <c r="AK5" i="4" s="1"/>
  <c r="AX5" i="4" s="1"/>
  <c r="BK5" i="4" s="1"/>
  <c r="J5" i="4"/>
  <c r="W5" i="4" s="1"/>
  <c r="AJ5" i="4" s="1"/>
  <c r="AW5" i="4" s="1"/>
  <c r="BJ5" i="4" s="1"/>
  <c r="I5" i="4"/>
  <c r="V5" i="4" s="1"/>
  <c r="AI5" i="4" s="1"/>
  <c r="AV5" i="4" s="1"/>
  <c r="BI5" i="4" s="1"/>
  <c r="H5" i="4"/>
  <c r="U5" i="4" s="1"/>
  <c r="AH5" i="4" s="1"/>
  <c r="AU5" i="4" s="1"/>
  <c r="BH5" i="4" s="1"/>
  <c r="G5" i="4"/>
  <c r="T5" i="4" s="1"/>
  <c r="AG5" i="4" s="1"/>
  <c r="AT5" i="4" s="1"/>
  <c r="BG5" i="4" s="1"/>
  <c r="A1" i="4"/>
  <c r="Q58" i="3"/>
  <c r="P58" i="3"/>
  <c r="O58" i="3"/>
  <c r="N58" i="3"/>
  <c r="M58" i="3"/>
  <c r="L58" i="3"/>
  <c r="K58" i="3"/>
  <c r="J58" i="3"/>
  <c r="I58" i="3"/>
  <c r="H58" i="3"/>
  <c r="G58" i="3"/>
  <c r="F58" i="3"/>
  <c r="Q57" i="3"/>
  <c r="P57" i="3"/>
  <c r="O57" i="3"/>
  <c r="N57" i="3"/>
  <c r="M57" i="3"/>
  <c r="L57" i="3"/>
  <c r="K57" i="3"/>
  <c r="J57" i="3"/>
  <c r="I57" i="3"/>
  <c r="H57" i="3"/>
  <c r="G57" i="3"/>
  <c r="F57" i="3"/>
  <c r="Q56" i="3"/>
  <c r="P56" i="3"/>
  <c r="O56" i="3"/>
  <c r="N56" i="3"/>
  <c r="M56" i="3"/>
  <c r="L56" i="3"/>
  <c r="K56" i="3"/>
  <c r="J56" i="3"/>
  <c r="I56" i="3"/>
  <c r="H56" i="3"/>
  <c r="G56" i="3"/>
  <c r="F56" i="3"/>
  <c r="BT52" i="3"/>
  <c r="Q51" i="3"/>
  <c r="P51" i="3"/>
  <c r="O51" i="3"/>
  <c r="N51" i="3"/>
  <c r="M51" i="3"/>
  <c r="L51" i="3"/>
  <c r="K51" i="3"/>
  <c r="J51" i="3"/>
  <c r="I51" i="3"/>
  <c r="H51" i="3"/>
  <c r="G51" i="3"/>
  <c r="F51" i="3"/>
  <c r="AD50" i="3"/>
  <c r="AC50" i="3"/>
  <c r="AB50" i="3"/>
  <c r="AA50" i="3"/>
  <c r="Z50" i="3"/>
  <c r="Y50" i="3"/>
  <c r="X50" i="3"/>
  <c r="W50" i="3"/>
  <c r="V50" i="3"/>
  <c r="U50" i="3"/>
  <c r="T50" i="3"/>
  <c r="S50" i="3"/>
  <c r="Q50" i="3"/>
  <c r="P50" i="3"/>
  <c r="O50" i="3"/>
  <c r="N50" i="3"/>
  <c r="M50" i="3"/>
  <c r="L50" i="3"/>
  <c r="K50" i="3"/>
  <c r="J50" i="3"/>
  <c r="I50" i="3"/>
  <c r="H50" i="3"/>
  <c r="G50" i="3"/>
  <c r="F50" i="3"/>
  <c r="AD48" i="3"/>
  <c r="AC48" i="3"/>
  <c r="AB48" i="3"/>
  <c r="AA48" i="3"/>
  <c r="Z48" i="3"/>
  <c r="Y48" i="3"/>
  <c r="X48" i="3"/>
  <c r="W48" i="3"/>
  <c r="V48" i="3"/>
  <c r="U48" i="3"/>
  <c r="T48" i="3"/>
  <c r="S48" i="3"/>
  <c r="Q48" i="3"/>
  <c r="P48" i="3"/>
  <c r="O48" i="3"/>
  <c r="N48" i="3"/>
  <c r="M48" i="3"/>
  <c r="L48" i="3"/>
  <c r="K48" i="3"/>
  <c r="J48" i="3"/>
  <c r="I48" i="3"/>
  <c r="H48" i="3"/>
  <c r="G48" i="3"/>
  <c r="F48" i="3"/>
  <c r="Q46" i="3"/>
  <c r="P46" i="3"/>
  <c r="O46" i="3"/>
  <c r="N46" i="3"/>
  <c r="M46" i="3"/>
  <c r="L46" i="3"/>
  <c r="K46" i="3"/>
  <c r="J46" i="3"/>
  <c r="I46" i="3"/>
  <c r="H46" i="3"/>
  <c r="G46" i="3"/>
  <c r="F46" i="3"/>
  <c r="Q5" i="3"/>
  <c r="AD5" i="3" s="1"/>
  <c r="AQ5" i="3" s="1"/>
  <c r="BD5" i="3" s="1"/>
  <c r="BQ5" i="3" s="1"/>
  <c r="P5" i="3"/>
  <c r="AC5" i="3" s="1"/>
  <c r="AP5" i="3" s="1"/>
  <c r="BC5" i="3" s="1"/>
  <c r="BP5" i="3" s="1"/>
  <c r="O5" i="3"/>
  <c r="AB5" i="3" s="1"/>
  <c r="AO5" i="3" s="1"/>
  <c r="BB5" i="3" s="1"/>
  <c r="BO5" i="3" s="1"/>
  <c r="N5" i="3"/>
  <c r="AA5" i="3" s="1"/>
  <c r="AN5" i="3" s="1"/>
  <c r="BA5" i="3" s="1"/>
  <c r="BN5" i="3" s="1"/>
  <c r="M5" i="3"/>
  <c r="Z5" i="3" s="1"/>
  <c r="AM5" i="3" s="1"/>
  <c r="AZ5" i="3" s="1"/>
  <c r="BM5" i="3" s="1"/>
  <c r="L5" i="3"/>
  <c r="Y5" i="3" s="1"/>
  <c r="AL5" i="3" s="1"/>
  <c r="AY5" i="3" s="1"/>
  <c r="BL5" i="3" s="1"/>
  <c r="K5" i="3"/>
  <c r="X5" i="3" s="1"/>
  <c r="AK5" i="3" s="1"/>
  <c r="AX5" i="3" s="1"/>
  <c r="BK5" i="3" s="1"/>
  <c r="J5" i="3"/>
  <c r="W5" i="3" s="1"/>
  <c r="AJ5" i="3" s="1"/>
  <c r="AW5" i="3" s="1"/>
  <c r="BJ5" i="3" s="1"/>
  <c r="I5" i="3"/>
  <c r="V5" i="3" s="1"/>
  <c r="AI5" i="3" s="1"/>
  <c r="AV5" i="3" s="1"/>
  <c r="BI5" i="3" s="1"/>
  <c r="H5" i="3"/>
  <c r="U5" i="3" s="1"/>
  <c r="AH5" i="3" s="1"/>
  <c r="AU5" i="3" s="1"/>
  <c r="BH5" i="3" s="1"/>
  <c r="G5" i="3"/>
  <c r="T5" i="3" s="1"/>
  <c r="AG5" i="3" s="1"/>
  <c r="AT5" i="3" s="1"/>
  <c r="BG5" i="3" s="1"/>
  <c r="F5" i="3"/>
  <c r="S5" i="3" s="1"/>
  <c r="AF5" i="3" s="1"/>
  <c r="AS5" i="3" s="1"/>
  <c r="BF5" i="3" s="1"/>
  <c r="A1" i="3"/>
  <c r="E42" i="2"/>
  <c r="F40" i="2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A1" i="2"/>
  <c r="F138" i="1"/>
  <c r="R134" i="1"/>
  <c r="O134" i="1"/>
  <c r="L134" i="1"/>
  <c r="I134" i="1"/>
  <c r="F134" i="1"/>
  <c r="E41" i="1"/>
  <c r="R26" i="1"/>
  <c r="O26" i="1"/>
  <c r="L26" i="1"/>
  <c r="I26" i="1"/>
  <c r="F26" i="1"/>
  <c r="R25" i="1"/>
  <c r="O25" i="1"/>
  <c r="L25" i="1"/>
  <c r="I25" i="1"/>
  <c r="F25" i="1"/>
  <c r="R18" i="1"/>
  <c r="O18" i="1"/>
  <c r="L18" i="1"/>
  <c r="I18" i="1"/>
  <c r="F18" i="1"/>
  <c r="R13" i="1"/>
  <c r="O13" i="1"/>
  <c r="L13" i="1"/>
  <c r="I13" i="1"/>
  <c r="F13" i="1"/>
  <c r="A1" i="1"/>
  <c r="AW12" i="11" l="1"/>
  <c r="AV19" i="11"/>
  <c r="AJ12" i="11"/>
  <c r="AJ11" i="11" s="1"/>
  <c r="AI19" i="11"/>
  <c r="W12" i="11"/>
  <c r="V19" i="11"/>
  <c r="BJ10" i="11"/>
  <c r="BI19" i="11"/>
  <c r="BJ24" i="11"/>
  <c r="BI33" i="11"/>
  <c r="W50" i="11"/>
  <c r="V54" i="11"/>
  <c r="W54" i="11" s="1"/>
  <c r="X54" i="11" s="1"/>
  <c r="Y54" i="11" s="1"/>
  <c r="Z54" i="11" s="1"/>
  <c r="AA54" i="11" s="1"/>
  <c r="U61" i="11"/>
  <c r="AW50" i="11"/>
  <c r="AW49" i="11" s="1"/>
  <c r="AV61" i="11"/>
  <c r="AJ50" i="11"/>
  <c r="AI54" i="11"/>
  <c r="AJ54" i="11" s="1"/>
  <c r="AK54" i="11" s="1"/>
  <c r="AL54" i="11" s="1"/>
  <c r="AM54" i="11" s="1"/>
  <c r="AN54" i="11" s="1"/>
  <c r="AO54" i="11" s="1"/>
  <c r="AP54" i="11" s="1"/>
  <c r="AQ54" i="11" s="1"/>
  <c r="AR54" i="11" s="1"/>
  <c r="AS54" i="11" s="1"/>
  <c r="AS53" i="11" s="1"/>
  <c r="AH61" i="11"/>
  <c r="J50" i="11"/>
  <c r="I61" i="11"/>
  <c r="BJ50" i="11"/>
  <c r="BI61" i="11"/>
  <c r="AV40" i="11"/>
  <c r="AW40" i="11" s="1"/>
  <c r="AX40" i="11" s="1"/>
  <c r="AY40" i="11" s="1"/>
  <c r="AZ40" i="11" s="1"/>
  <c r="BA40" i="11" s="1"/>
  <c r="BB40" i="11" s="1"/>
  <c r="BC40" i="11" s="1"/>
  <c r="BD40" i="11" s="1"/>
  <c r="BE40" i="11" s="1"/>
  <c r="BF40" i="11" s="1"/>
  <c r="BF39" i="11" s="1"/>
  <c r="AU47" i="11"/>
  <c r="AI40" i="11"/>
  <c r="AJ40" i="11" s="1"/>
  <c r="AK40" i="11" s="1"/>
  <c r="AL40" i="11" s="1"/>
  <c r="AM40" i="11" s="1"/>
  <c r="AN40" i="11" s="1"/>
  <c r="AO40" i="11" s="1"/>
  <c r="AP40" i="11" s="1"/>
  <c r="AQ40" i="11" s="1"/>
  <c r="AR40" i="11" s="1"/>
  <c r="AS40" i="11" s="1"/>
  <c r="AS39" i="11" s="1"/>
  <c r="AH47" i="11"/>
  <c r="AW36" i="11"/>
  <c r="AW35" i="11" s="1"/>
  <c r="AV47" i="11"/>
  <c r="J40" i="11"/>
  <c r="J39" i="11" s="1"/>
  <c r="I47" i="11"/>
  <c r="W36" i="11"/>
  <c r="BJ36" i="11"/>
  <c r="BJ66" i="11" s="1"/>
  <c r="U47" i="11"/>
  <c r="BI40" i="11"/>
  <c r="BJ40" i="11" s="1"/>
  <c r="BK40" i="11" s="1"/>
  <c r="BL40" i="11" s="1"/>
  <c r="BM40" i="11" s="1"/>
  <c r="BN40" i="11" s="1"/>
  <c r="BO40" i="11" s="1"/>
  <c r="BP40" i="11" s="1"/>
  <c r="BQ40" i="11" s="1"/>
  <c r="BR40" i="11" s="1"/>
  <c r="BS40" i="11" s="1"/>
  <c r="BS39" i="11" s="1"/>
  <c r="BH47" i="11"/>
  <c r="AJ36" i="11"/>
  <c r="AJ35" i="11" s="1"/>
  <c r="V40" i="1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AF39" i="11" s="1"/>
  <c r="P36" i="11"/>
  <c r="AY18" i="7"/>
  <c r="AY55" i="7" s="1"/>
  <c r="AU107" i="7"/>
  <c r="AT30" i="8" s="1"/>
  <c r="BH99" i="7"/>
  <c r="BG22" i="8" s="1"/>
  <c r="BU27" i="7"/>
  <c r="BU64" i="7" s="1"/>
  <c r="AZ114" i="7"/>
  <c r="AY37" i="8" s="1"/>
  <c r="AN103" i="7"/>
  <c r="AM26" i="8" s="1"/>
  <c r="BF33" i="7"/>
  <c r="BF70" i="7" s="1"/>
  <c r="BO41" i="7"/>
  <c r="BO78" i="7" s="1"/>
  <c r="AP111" i="7"/>
  <c r="AO34" i="8" s="1"/>
  <c r="BR10" i="7"/>
  <c r="BD114" i="7"/>
  <c r="BC37" i="8" s="1"/>
  <c r="AN112" i="7"/>
  <c r="AM35" i="8" s="1"/>
  <c r="AR94" i="7"/>
  <c r="AQ17" i="8" s="1"/>
  <c r="AU106" i="7"/>
  <c r="AT29" i="8" s="1"/>
  <c r="BH34" i="7"/>
  <c r="BH71" i="7" s="1"/>
  <c r="BT9" i="7"/>
  <c r="BN11" i="3" s="1"/>
  <c r="BN22" i="3" s="1"/>
  <c r="BB40" i="7"/>
  <c r="BB77" i="7" s="1"/>
  <c r="BM41" i="7"/>
  <c r="BM78" i="7" s="1"/>
  <c r="BJ113" i="7"/>
  <c r="BI36" i="8" s="1"/>
  <c r="BC98" i="7"/>
  <c r="BB21" i="8" s="1"/>
  <c r="AU111" i="7"/>
  <c r="AT34" i="8" s="1"/>
  <c r="BE98" i="7"/>
  <c r="BD21" i="8" s="1"/>
  <c r="BR9" i="7"/>
  <c r="BL11" i="3" s="1"/>
  <c r="AO111" i="7"/>
  <c r="AN34" i="8" s="1"/>
  <c r="AY40" i="7"/>
  <c r="AY77" i="7" s="1"/>
  <c r="BW41" i="7"/>
  <c r="BW78" i="7" s="1"/>
  <c r="BP26" i="7"/>
  <c r="BP63" i="7" s="1"/>
  <c r="BH39" i="7"/>
  <c r="BH76" i="7" s="1"/>
  <c r="AW109" i="7"/>
  <c r="BR26" i="7"/>
  <c r="BR63" i="7" s="1"/>
  <c r="BB39" i="7"/>
  <c r="BB76" i="7" s="1"/>
  <c r="AE123" i="7"/>
  <c r="AE130" i="7" s="1"/>
  <c r="AI122" i="7"/>
  <c r="AI129" i="7" s="1"/>
  <c r="AG122" i="7"/>
  <c r="AG129" i="7" s="1"/>
  <c r="AN108" i="7"/>
  <c r="AM31" i="8" s="1"/>
  <c r="BC115" i="7"/>
  <c r="BB38" i="8" s="1"/>
  <c r="BO10" i="7"/>
  <c r="BI12" i="3" s="1"/>
  <c r="AW110" i="7"/>
  <c r="AV33" i="8" s="1"/>
  <c r="AM111" i="7"/>
  <c r="AL34" i="8" s="1"/>
  <c r="BJ37" i="7"/>
  <c r="BJ74" i="7" s="1"/>
  <c r="AE124" i="7"/>
  <c r="AE131" i="7" s="1"/>
  <c r="AB124" i="7"/>
  <c r="AB131" i="7" s="1"/>
  <c r="AB123" i="7"/>
  <c r="AB130" i="7" s="1"/>
  <c r="AG46" i="8"/>
  <c r="X13" i="8"/>
  <c r="BH114" i="7"/>
  <c r="BG37" i="8" s="1"/>
  <c r="AN89" i="7"/>
  <c r="AM12" i="8" s="1"/>
  <c r="BA40" i="7"/>
  <c r="BA77" i="7" s="1"/>
  <c r="BH113" i="7"/>
  <c r="BG36" i="8" s="1"/>
  <c r="BQ42" i="7"/>
  <c r="BQ79" i="7" s="1"/>
  <c r="AZ37" i="7"/>
  <c r="AZ74" i="7" s="1"/>
  <c r="BQ9" i="7"/>
  <c r="BK11" i="3" s="1"/>
  <c r="BK22" i="3" s="1"/>
  <c r="BA17" i="7"/>
  <c r="BA54" i="7" s="1"/>
  <c r="BV9" i="7"/>
  <c r="BP11" i="3" s="1"/>
  <c r="BP22" i="3" s="1"/>
  <c r="BU41" i="7"/>
  <c r="BU78" i="7" s="1"/>
  <c r="AI123" i="7"/>
  <c r="AI130" i="7" s="1"/>
  <c r="BN9" i="7"/>
  <c r="BH11" i="3" s="1"/>
  <c r="BH12" i="2" s="1"/>
  <c r="AP112" i="7"/>
  <c r="AO35" i="8" s="1"/>
  <c r="BE36" i="7"/>
  <c r="BE73" i="7" s="1"/>
  <c r="AW108" i="7"/>
  <c r="AV31" i="8" s="1"/>
  <c r="AV105" i="7"/>
  <c r="AU28" i="8" s="1"/>
  <c r="BO43" i="7"/>
  <c r="BO80" i="7" s="1"/>
  <c r="AQ112" i="7"/>
  <c r="AP35" i="8" s="1"/>
  <c r="AN104" i="7"/>
  <c r="AM27" i="8" s="1"/>
  <c r="AM121" i="7"/>
  <c r="AM128" i="7" s="1"/>
  <c r="BC40" i="7"/>
  <c r="BC77" i="7" s="1"/>
  <c r="BJ36" i="7"/>
  <c r="BJ73" i="7" s="1"/>
  <c r="BI33" i="7"/>
  <c r="BI70" i="7" s="1"/>
  <c r="BD40" i="7"/>
  <c r="BD77" i="7" s="1"/>
  <c r="BA32" i="7"/>
  <c r="BA69" i="7" s="1"/>
  <c r="AU108" i="7"/>
  <c r="AT31" i="8" s="1"/>
  <c r="AB47" i="8"/>
  <c r="AE47" i="8"/>
  <c r="AB81" i="7"/>
  <c r="V10" i="3" s="1"/>
  <c r="BM42" i="7"/>
  <c r="BM79" i="7" s="1"/>
  <c r="BP41" i="7"/>
  <c r="BP78" i="7" s="1"/>
  <c r="BB113" i="7"/>
  <c r="BA36" i="8" s="1"/>
  <c r="BJ115" i="7"/>
  <c r="BI38" i="8" s="1"/>
  <c r="AS103" i="7"/>
  <c r="AR26" i="8" s="1"/>
  <c r="AH122" i="7"/>
  <c r="AH129" i="7" s="1"/>
  <c r="AC121" i="7"/>
  <c r="AC128" i="7" s="1"/>
  <c r="AC132" i="7" s="1"/>
  <c r="W8" i="3" s="1"/>
  <c r="W60" i="3" s="1"/>
  <c r="AB46" i="8"/>
  <c r="AB122" i="7"/>
  <c r="AB129" i="7" s="1"/>
  <c r="AL90" i="7"/>
  <c r="AK13" i="8" s="1"/>
  <c r="BE22" i="7"/>
  <c r="BE59" i="7" s="1"/>
  <c r="BJ114" i="7"/>
  <c r="BI37" i="8" s="1"/>
  <c r="AV112" i="7"/>
  <c r="AU35" i="8" s="1"/>
  <c r="Z123" i="7"/>
  <c r="Z130" i="7" s="1"/>
  <c r="AX80" i="7"/>
  <c r="AU96" i="7"/>
  <c r="AT19" i="8" s="1"/>
  <c r="G15" i="3"/>
  <c r="U128" i="7"/>
  <c r="AI45" i="8"/>
  <c r="AM109" i="7"/>
  <c r="BH24" i="7"/>
  <c r="BH61" i="7" s="1"/>
  <c r="BW10" i="7"/>
  <c r="BQ12" i="3" s="1"/>
  <c r="BQ23" i="3" s="1"/>
  <c r="BH35" i="7"/>
  <c r="BH72" i="7" s="1"/>
  <c r="BC39" i="7"/>
  <c r="BC76" i="7" s="1"/>
  <c r="BF31" i="7"/>
  <c r="BF68" i="7" s="1"/>
  <c r="AW105" i="7"/>
  <c r="AV28" i="8" s="1"/>
  <c r="BA31" i="7"/>
  <c r="BA68" i="7" s="1"/>
  <c r="AD123" i="7"/>
  <c r="AD130" i="7" s="1"/>
  <c r="AJ123" i="7"/>
  <c r="AJ130" i="7" s="1"/>
  <c r="BM10" i="7"/>
  <c r="BG12" i="3" s="1"/>
  <c r="BJ33" i="7"/>
  <c r="BJ70" i="7" s="1"/>
  <c r="BB114" i="7"/>
  <c r="BA37" i="8" s="1"/>
  <c r="AB121" i="7"/>
  <c r="AB128" i="7" s="1"/>
  <c r="AD122" i="7"/>
  <c r="AD129" i="7" s="1"/>
  <c r="AD44" i="8"/>
  <c r="AE46" i="8"/>
  <c r="AS105" i="7"/>
  <c r="AR28" i="8" s="1"/>
  <c r="AK93" i="7"/>
  <c r="BC113" i="7"/>
  <c r="BB36" i="8" s="1"/>
  <c r="AB117" i="7"/>
  <c r="V15" i="3" s="1"/>
  <c r="BO42" i="7"/>
  <c r="BO79" i="7" s="1"/>
  <c r="AI121" i="7"/>
  <c r="AI128" i="7" s="1"/>
  <c r="AF121" i="7"/>
  <c r="AF128" i="7" s="1"/>
  <c r="AG121" i="7"/>
  <c r="AG128" i="7" s="1"/>
  <c r="AJ19" i="8"/>
  <c r="AA132" i="7"/>
  <c r="U8" i="3" s="1"/>
  <c r="U60" i="3" s="1"/>
  <c r="BU42" i="7"/>
  <c r="BU79" i="7" s="1"/>
  <c r="BW42" i="7"/>
  <c r="BW79" i="7" s="1"/>
  <c r="AK90" i="7"/>
  <c r="BI40" i="7"/>
  <c r="BI77" i="7" s="1"/>
  <c r="BM9" i="7"/>
  <c r="BG11" i="3" s="1"/>
  <c r="BG12" i="2" s="1"/>
  <c r="Q15" i="3"/>
  <c r="Z124" i="7"/>
  <c r="Z131" i="7" s="1"/>
  <c r="AG123" i="7"/>
  <c r="AG130" i="7" s="1"/>
  <c r="AF122" i="7"/>
  <c r="AF129" i="7" s="1"/>
  <c r="Z46" i="8"/>
  <c r="AI47" i="8"/>
  <c r="Y44" i="8"/>
  <c r="M48" i="8"/>
  <c r="H19" i="3" s="1"/>
  <c r="AD45" i="8"/>
  <c r="Y45" i="8"/>
  <c r="AG44" i="8"/>
  <c r="AG117" i="7"/>
  <c r="AA15" i="3" s="1"/>
  <c r="AI117" i="7"/>
  <c r="AC15" i="3" s="1"/>
  <c r="AK96" i="7"/>
  <c r="AR107" i="7"/>
  <c r="AQ30" i="8" s="1"/>
  <c r="BC97" i="7"/>
  <c r="BB20" i="8" s="1"/>
  <c r="AW112" i="7"/>
  <c r="AV35" i="8" s="1"/>
  <c r="Z47" i="8"/>
  <c r="Z45" i="8"/>
  <c r="BW9" i="7"/>
  <c r="BQ11" i="3" s="1"/>
  <c r="BQ12" i="2" s="1"/>
  <c r="BE35" i="7"/>
  <c r="BE72" i="7" s="1"/>
  <c r="BP25" i="7"/>
  <c r="BP62" i="7" s="1"/>
  <c r="BJ40" i="7"/>
  <c r="BJ77" i="7" s="1"/>
  <c r="AG124" i="7"/>
  <c r="AG131" i="7" s="1"/>
  <c r="AX33" i="7"/>
  <c r="AQ70" i="7"/>
  <c r="AM89" i="7"/>
  <c r="AL12" i="8" s="1"/>
  <c r="AM54" i="7"/>
  <c r="BE37" i="7"/>
  <c r="BE74" i="7" s="1"/>
  <c r="AR74" i="7"/>
  <c r="BG24" i="7"/>
  <c r="BG61" i="7" s="1"/>
  <c r="AT61" i="7"/>
  <c r="AO92" i="7"/>
  <c r="AN15" i="8" s="1"/>
  <c r="AO57" i="7"/>
  <c r="BE39" i="7"/>
  <c r="BE76" i="7" s="1"/>
  <c r="AR76" i="7"/>
  <c r="AW104" i="7"/>
  <c r="AV27" i="8" s="1"/>
  <c r="AW69" i="7"/>
  <c r="AG13" i="8"/>
  <c r="AH124" i="7"/>
  <c r="AM91" i="7"/>
  <c r="AL14" i="8" s="1"/>
  <c r="AM56" i="7"/>
  <c r="BJ17" i="7"/>
  <c r="BJ54" i="7" s="1"/>
  <c r="AW54" i="7"/>
  <c r="AP87" i="7"/>
  <c r="AO10" i="8" s="1"/>
  <c r="AP52" i="7"/>
  <c r="BA39" i="7"/>
  <c r="BA76" i="7" s="1"/>
  <c r="AN76" i="7"/>
  <c r="AN81" i="7" s="1"/>
  <c r="AH10" i="3" s="1"/>
  <c r="BC99" i="7"/>
  <c r="BB22" i="8" s="1"/>
  <c r="BC64" i="7"/>
  <c r="BG22" i="7"/>
  <c r="BG59" i="7" s="1"/>
  <c r="AT59" i="7"/>
  <c r="X47" i="8"/>
  <c r="Y131" i="7"/>
  <c r="AX38" i="7"/>
  <c r="AU75" i="7"/>
  <c r="AX75" i="7" s="1"/>
  <c r="AX40" i="7"/>
  <c r="AU77" i="7"/>
  <c r="BM15" i="7"/>
  <c r="BM52" i="7" s="1"/>
  <c r="AZ52" i="7"/>
  <c r="BJ35" i="7"/>
  <c r="BJ72" i="7" s="1"/>
  <c r="AW72" i="7"/>
  <c r="BJ22" i="7"/>
  <c r="BJ59" i="7" s="1"/>
  <c r="AW59" i="7"/>
  <c r="BG21" i="7"/>
  <c r="BG58" i="7" s="1"/>
  <c r="AT58" i="7"/>
  <c r="BC20" i="7"/>
  <c r="BC57" i="7" s="1"/>
  <c r="AP57" i="7"/>
  <c r="AP65" i="7" s="1"/>
  <c r="AJ9" i="3" s="1"/>
  <c r="AW95" i="7"/>
  <c r="AV18" i="8" s="1"/>
  <c r="AW60" i="7"/>
  <c r="BG16" i="7"/>
  <c r="BG53" i="7" s="1"/>
  <c r="AT53" i="7"/>
  <c r="AY32" i="7"/>
  <c r="AY69" i="7" s="1"/>
  <c r="AL69" i="7"/>
  <c r="BH22" i="7"/>
  <c r="BH59" i="7" s="1"/>
  <c r="AU59" i="7"/>
  <c r="AR93" i="7"/>
  <c r="AR58" i="7"/>
  <c r="BI16" i="7"/>
  <c r="BI53" i="7" s="1"/>
  <c r="AV53" i="7"/>
  <c r="BU26" i="7"/>
  <c r="BU63" i="7" s="1"/>
  <c r="BH63" i="7"/>
  <c r="AW106" i="7"/>
  <c r="AV29" i="8" s="1"/>
  <c r="AW71" i="7"/>
  <c r="AW81" i="7" s="1"/>
  <c r="AQ10" i="3" s="1"/>
  <c r="AR89" i="7"/>
  <c r="AQ12" i="8" s="1"/>
  <c r="AR54" i="7"/>
  <c r="U13" i="3"/>
  <c r="U24" i="3" s="1"/>
  <c r="AG12" i="2"/>
  <c r="V48" i="8"/>
  <c r="Q19" i="3" s="1"/>
  <c r="BG18" i="7"/>
  <c r="BG55" i="7" s="1"/>
  <c r="AL104" i="7"/>
  <c r="AK27" i="8" s="1"/>
  <c r="AV96" i="7"/>
  <c r="AU19" i="8" s="1"/>
  <c r="M132" i="7"/>
  <c r="G8" i="3" s="1"/>
  <c r="W132" i="7"/>
  <c r="Q8" i="3" s="1"/>
  <c r="Q60" i="3" s="1"/>
  <c r="S48" i="8"/>
  <c r="N19" i="3" s="1"/>
  <c r="T132" i="7"/>
  <c r="N8" i="3" s="1"/>
  <c r="N60" i="3" s="1"/>
  <c r="AT87" i="7"/>
  <c r="AS10" i="8" s="1"/>
  <c r="AZ17" i="7"/>
  <c r="AZ54" i="7" s="1"/>
  <c r="U130" i="7"/>
  <c r="U132" i="7" s="1"/>
  <c r="O8" i="3" s="1"/>
  <c r="T46" i="8"/>
  <c r="T48" i="8" s="1"/>
  <c r="O19" i="3" s="1"/>
  <c r="BP27" i="7"/>
  <c r="BP64" i="7" s="1"/>
  <c r="BE21" i="7"/>
  <c r="BE58" i="7" s="1"/>
  <c r="AL124" i="7"/>
  <c r="AA47" i="8"/>
  <c r="AA46" i="8"/>
  <c r="O131" i="7"/>
  <c r="X131" i="7" s="1"/>
  <c r="N47" i="8"/>
  <c r="W47" i="8" s="1"/>
  <c r="O129" i="7"/>
  <c r="N45" i="8"/>
  <c r="V130" i="7"/>
  <c r="U46" i="8"/>
  <c r="U48" i="8" s="1"/>
  <c r="P19" i="3" s="1"/>
  <c r="Q129" i="7"/>
  <c r="P45" i="8"/>
  <c r="AF45" i="8"/>
  <c r="AC44" i="8"/>
  <c r="AA117" i="7"/>
  <c r="U15" i="3" s="1"/>
  <c r="Y122" i="7"/>
  <c r="X11" i="8"/>
  <c r="AJ11" i="8" s="1"/>
  <c r="AX32" i="7"/>
  <c r="Y121" i="7"/>
  <c r="X10" i="8"/>
  <c r="BQ10" i="7"/>
  <c r="BK12" i="3" s="1"/>
  <c r="BU9" i="7"/>
  <c r="BO11" i="3" s="1"/>
  <c r="BO22" i="3" s="1"/>
  <c r="BU10" i="7"/>
  <c r="BO12" i="3" s="1"/>
  <c r="BO23" i="3" s="1"/>
  <c r="BN13" i="2" s="1"/>
  <c r="AN111" i="7"/>
  <c r="AM34" i="8" s="1"/>
  <c r="AJ132" i="7"/>
  <c r="AD8" i="3" s="1"/>
  <c r="AD60" i="3" s="1"/>
  <c r="AI46" i="8"/>
  <c r="S129" i="7"/>
  <c r="R45" i="8"/>
  <c r="R48" i="8" s="1"/>
  <c r="M19" i="3" s="1"/>
  <c r="AF44" i="8"/>
  <c r="K48" i="8"/>
  <c r="F19" i="3" s="1"/>
  <c r="L48" i="8"/>
  <c r="G19" i="3" s="1"/>
  <c r="Y123" i="7"/>
  <c r="X12" i="8"/>
  <c r="AJ12" i="8" s="1"/>
  <c r="Y47" i="8"/>
  <c r="O130" i="7"/>
  <c r="N46" i="8"/>
  <c r="P130" i="7"/>
  <c r="P132" i="7" s="1"/>
  <c r="J8" i="3" s="1"/>
  <c r="J60" i="3" s="1"/>
  <c r="O46" i="8"/>
  <c r="O48" i="8" s="1"/>
  <c r="J19" i="3" s="1"/>
  <c r="BC15" i="7"/>
  <c r="BC52" i="7" s="1"/>
  <c r="AF117" i="7"/>
  <c r="Z15" i="3" s="1"/>
  <c r="AD47" i="8"/>
  <c r="AA45" i="8"/>
  <c r="Q48" i="8"/>
  <c r="L19" i="3" s="1"/>
  <c r="AA44" i="8"/>
  <c r="N132" i="7"/>
  <c r="H8" i="3" s="1"/>
  <c r="H60" i="3" s="1"/>
  <c r="AH47" i="8"/>
  <c r="Q130" i="7"/>
  <c r="P46" i="8"/>
  <c r="W44" i="8"/>
  <c r="AT23" i="3"/>
  <c r="AS13" i="2" s="1"/>
  <c r="C16" i="8"/>
  <c r="AB16" i="8"/>
  <c r="AB23" i="8" s="1"/>
  <c r="W20" i="3" s="1"/>
  <c r="AF16" i="8"/>
  <c r="AF23" i="8" s="1"/>
  <c r="AA20" i="3" s="1"/>
  <c r="AA16" i="8"/>
  <c r="AA23" i="8" s="1"/>
  <c r="V20" i="3" s="1"/>
  <c r="AG16" i="8"/>
  <c r="X16" i="8"/>
  <c r="AC16" i="8"/>
  <c r="AC23" i="8" s="1"/>
  <c r="X20" i="3" s="1"/>
  <c r="AH16" i="8"/>
  <c r="AH23" i="8" s="1"/>
  <c r="AC20" i="3" s="1"/>
  <c r="Y16" i="8"/>
  <c r="Y23" i="8" s="1"/>
  <c r="T20" i="3" s="1"/>
  <c r="AD16" i="8"/>
  <c r="AD23" i="8" s="1"/>
  <c r="Y20" i="3" s="1"/>
  <c r="AI16" i="8"/>
  <c r="AI23" i="8" s="1"/>
  <c r="AD20" i="3" s="1"/>
  <c r="Z16" i="8"/>
  <c r="Z23" i="8" s="1"/>
  <c r="U20" i="3" s="1"/>
  <c r="AE16" i="8"/>
  <c r="AE23" i="8" s="1"/>
  <c r="Z20" i="3" s="1"/>
  <c r="BP10" i="7"/>
  <c r="BJ12" i="3" s="1"/>
  <c r="BS10" i="7"/>
  <c r="BM12" i="3" s="1"/>
  <c r="BM23" i="3" s="1"/>
  <c r="BL13" i="2" s="1"/>
  <c r="AE23" i="3"/>
  <c r="AE33" i="3" s="1"/>
  <c r="BE12" i="3"/>
  <c r="AR12" i="3"/>
  <c r="AW23" i="3"/>
  <c r="AV13" i="2" s="1"/>
  <c r="AW91" i="7"/>
  <c r="AV14" i="8" s="1"/>
  <c r="BK10" i="7"/>
  <c r="BT10" i="7"/>
  <c r="BN12" i="3" s="1"/>
  <c r="BN23" i="3" s="1"/>
  <c r="BM13" i="2" s="1"/>
  <c r="AT88" i="7"/>
  <c r="AS11" i="8" s="1"/>
  <c r="AK71" i="7"/>
  <c r="BJ19" i="7"/>
  <c r="BJ34" i="7"/>
  <c r="BJ71" i="7" s="1"/>
  <c r="AT90" i="7"/>
  <c r="AS13" i="8" s="1"/>
  <c r="AK104" i="7"/>
  <c r="AK109" i="7"/>
  <c r="AT94" i="7"/>
  <c r="AS17" i="8" s="1"/>
  <c r="P125" i="7"/>
  <c r="J15" i="3" s="1"/>
  <c r="N15" i="3"/>
  <c r="H15" i="3"/>
  <c r="X121" i="7"/>
  <c r="X122" i="7"/>
  <c r="AF22" i="3"/>
  <c r="AR22" i="3" s="1"/>
  <c r="AG23" i="3"/>
  <c r="AF13" i="2" s="1"/>
  <c r="AS11" i="3"/>
  <c r="BE11" i="3" s="1"/>
  <c r="AN121" i="7"/>
  <c r="AN128" i="7" s="1"/>
  <c r="AW124" i="7"/>
  <c r="AW131" i="7" s="1"/>
  <c r="AR122" i="7"/>
  <c r="AR129" i="7" s="1"/>
  <c r="AN123" i="7"/>
  <c r="AN130" i="7" s="1"/>
  <c r="AS123" i="7"/>
  <c r="AS130" i="7" s="1"/>
  <c r="L130" i="7"/>
  <c r="X123" i="7"/>
  <c r="S125" i="7"/>
  <c r="M15" i="3" s="1"/>
  <c r="S128" i="7"/>
  <c r="V128" i="7"/>
  <c r="V125" i="7"/>
  <c r="P15" i="3" s="1"/>
  <c r="AM122" i="7"/>
  <c r="AM129" i="7" s="1"/>
  <c r="AU122" i="7"/>
  <c r="AU129" i="7" s="1"/>
  <c r="AV124" i="7"/>
  <c r="AV131" i="7" s="1"/>
  <c r="AP122" i="7"/>
  <c r="AP129" i="7" s="1"/>
  <c r="AN124" i="7"/>
  <c r="AN131" i="7" s="1"/>
  <c r="R125" i="7"/>
  <c r="L15" i="3" s="1"/>
  <c r="R128" i="7"/>
  <c r="R132" i="7" s="1"/>
  <c r="L8" i="3" s="1"/>
  <c r="L60" i="3" s="1"/>
  <c r="AB132" i="7"/>
  <c r="V8" i="3" s="1"/>
  <c r="V60" i="3" s="1"/>
  <c r="AS124" i="7"/>
  <c r="AS131" i="7" s="1"/>
  <c r="AP124" i="7"/>
  <c r="AP131" i="7" s="1"/>
  <c r="AU123" i="7"/>
  <c r="AU130" i="7" s="1"/>
  <c r="AU124" i="7"/>
  <c r="AU131" i="7" s="1"/>
  <c r="AW121" i="7"/>
  <c r="AW128" i="7" s="1"/>
  <c r="AR121" i="7"/>
  <c r="AR128" i="7" s="1"/>
  <c r="BL12" i="3"/>
  <c r="BL23" i="3" s="1"/>
  <c r="BK13" i="2" s="1"/>
  <c r="AU121" i="7"/>
  <c r="AU128" i="7" s="1"/>
  <c r="O125" i="7"/>
  <c r="I15" i="3" s="1"/>
  <c r="O128" i="7"/>
  <c r="Q125" i="7"/>
  <c r="K15" i="3" s="1"/>
  <c r="U125" i="7"/>
  <c r="O15" i="3" s="1"/>
  <c r="BH12" i="3"/>
  <c r="AP123" i="7"/>
  <c r="AP130" i="7" s="1"/>
  <c r="AN122" i="7"/>
  <c r="AN129" i="7" s="1"/>
  <c r="AR124" i="7"/>
  <c r="AR131" i="7" s="1"/>
  <c r="AW122" i="7"/>
  <c r="AW129" i="7" s="1"/>
  <c r="AQ124" i="7"/>
  <c r="AQ131" i="7" s="1"/>
  <c r="AT123" i="7"/>
  <c r="AT130" i="7" s="1"/>
  <c r="AR11" i="3"/>
  <c r="L125" i="7"/>
  <c r="F15" i="3" s="1"/>
  <c r="AC65" i="7"/>
  <c r="W9" i="3" s="1"/>
  <c r="BH98" i="7"/>
  <c r="BG21" i="8" s="1"/>
  <c r="BG15" i="7"/>
  <c r="BI24" i="7"/>
  <c r="BI61" i="7" s="1"/>
  <c r="AV88" i="7"/>
  <c r="AU11" i="8" s="1"/>
  <c r="AE81" i="7"/>
  <c r="Y10" i="3" s="1"/>
  <c r="Y13" i="3" s="1"/>
  <c r="AE117" i="7"/>
  <c r="Y15" i="3" s="1"/>
  <c r="B12" i="14"/>
  <c r="O119" i="1"/>
  <c r="L115" i="1"/>
  <c r="F115" i="1"/>
  <c r="I115" i="1"/>
  <c r="R115" i="1"/>
  <c r="L116" i="1"/>
  <c r="R116" i="1"/>
  <c r="R118" i="1"/>
  <c r="F116" i="1"/>
  <c r="I116" i="1"/>
  <c r="O116" i="1"/>
  <c r="F118" i="1"/>
  <c r="L118" i="1"/>
  <c r="O118" i="1"/>
  <c r="F119" i="1"/>
  <c r="AP92" i="7"/>
  <c r="AO15" i="8" s="1"/>
  <c r="AT96" i="7"/>
  <c r="AS19" i="8" s="1"/>
  <c r="AZ19" i="7"/>
  <c r="BM19" i="7" s="1"/>
  <c r="BM56" i="7" s="1"/>
  <c r="AX35" i="7"/>
  <c r="AW107" i="7"/>
  <c r="AV30" i="8" s="1"/>
  <c r="AH65" i="7"/>
  <c r="AB9" i="3" s="1"/>
  <c r="AR111" i="7"/>
  <c r="AQ34" i="8" s="1"/>
  <c r="AJ81" i="7"/>
  <c r="AD10" i="3" s="1"/>
  <c r="AW94" i="7"/>
  <c r="AV17" i="8" s="1"/>
  <c r="AR65" i="7"/>
  <c r="AL9" i="3" s="1"/>
  <c r="AT93" i="7"/>
  <c r="AX37" i="7"/>
  <c r="AU94" i="7"/>
  <c r="AT17" i="8" s="1"/>
  <c r="AU65" i="7"/>
  <c r="AO9" i="3" s="1"/>
  <c r="AK107" i="7"/>
  <c r="AC117" i="7"/>
  <c r="W15" i="3" s="1"/>
  <c r="AZ87" i="7"/>
  <c r="AY10" i="8" s="1"/>
  <c r="AE22" i="3"/>
  <c r="AE32" i="3" s="1"/>
  <c r="AJ65" i="7"/>
  <c r="AD9" i="3" s="1"/>
  <c r="AC81" i="7"/>
  <c r="W10" i="3" s="1"/>
  <c r="Z117" i="7"/>
  <c r="T15" i="3" s="1"/>
  <c r="AK75" i="7"/>
  <c r="AK77" i="7"/>
  <c r="AK73" i="7"/>
  <c r="AW38" i="8"/>
  <c r="J52" i="11"/>
  <c r="K52" i="11" s="1"/>
  <c r="BQ51" i="11"/>
  <c r="J54" i="11"/>
  <c r="K54" i="11" s="1"/>
  <c r="J58" i="11"/>
  <c r="K58" i="11" s="1"/>
  <c r="AK74" i="7"/>
  <c r="AK72" i="7"/>
  <c r="AW96" i="7"/>
  <c r="AV19" i="8" s="1"/>
  <c r="AT95" i="7"/>
  <c r="AS18" i="8" s="1"/>
  <c r="AG65" i="7"/>
  <c r="AA9" i="3" s="1"/>
  <c r="AJ117" i="7"/>
  <c r="AD15" i="3" s="1"/>
  <c r="AX115" i="7"/>
  <c r="BW43" i="7"/>
  <c r="BK43" i="7"/>
  <c r="AD117" i="7"/>
  <c r="X15" i="3" s="1"/>
  <c r="BJ24" i="7"/>
  <c r="BJ61" i="7" s="1"/>
  <c r="AW89" i="7"/>
  <c r="AV12" i="8" s="1"/>
  <c r="BL10" i="7"/>
  <c r="BG23" i="7"/>
  <c r="AK78" i="7"/>
  <c r="X117" i="7"/>
  <c r="AJ33" i="8"/>
  <c r="AK53" i="7"/>
  <c r="BD22" i="3"/>
  <c r="BD12" i="2"/>
  <c r="AW22" i="3"/>
  <c r="AW12" i="2"/>
  <c r="AT22" i="3"/>
  <c r="AT12" i="2"/>
  <c r="AJ28" i="8"/>
  <c r="AX22" i="3"/>
  <c r="AX12" i="2"/>
  <c r="AZ22" i="3"/>
  <c r="AZ12" i="2"/>
  <c r="AY22" i="3"/>
  <c r="AY12" i="2"/>
  <c r="BJ22" i="3"/>
  <c r="BJ12" i="2"/>
  <c r="AU22" i="3"/>
  <c r="AU12" i="2"/>
  <c r="AK105" i="7"/>
  <c r="BB22" i="3"/>
  <c r="BB12" i="2"/>
  <c r="BC22" i="3"/>
  <c r="BC12" i="2"/>
  <c r="BM22" i="3"/>
  <c r="BM12" i="2"/>
  <c r="BL22" i="3"/>
  <c r="BL12" i="2"/>
  <c r="AV22" i="3"/>
  <c r="AV12" i="2"/>
  <c r="AK54" i="7"/>
  <c r="AK59" i="7"/>
  <c r="AK76" i="7"/>
  <c r="BP12" i="2"/>
  <c r="BA22" i="3"/>
  <c r="BA12" i="2"/>
  <c r="BI22" i="3"/>
  <c r="BI12" i="2"/>
  <c r="G29" i="4"/>
  <c r="BA50" i="13"/>
  <c r="BS43" i="13"/>
  <c r="BN45" i="13"/>
  <c r="BJ51" i="13"/>
  <c r="AK61" i="7"/>
  <c r="AP81" i="7"/>
  <c r="AJ10" i="3" s="1"/>
  <c r="AK60" i="7"/>
  <c r="Y65" i="7"/>
  <c r="S9" i="3" s="1"/>
  <c r="AJ30" i="8"/>
  <c r="AK70" i="7"/>
  <c r="AK56" i="7"/>
  <c r="AH81" i="7"/>
  <c r="AB10" i="3" s="1"/>
  <c r="AD81" i="7"/>
  <c r="X10" i="3" s="1"/>
  <c r="AX62" i="7"/>
  <c r="AL89" i="7"/>
  <c r="AL94" i="7"/>
  <c r="AK17" i="8" s="1"/>
  <c r="BI15" i="7"/>
  <c r="BI52" i="7" s="1"/>
  <c r="AV87" i="7"/>
  <c r="AU10" i="8" s="1"/>
  <c r="BF15" i="7"/>
  <c r="BF52" i="7" s="1"/>
  <c r="AS87" i="7"/>
  <c r="AR10" i="8" s="1"/>
  <c r="BI23" i="7"/>
  <c r="BI60" i="7" s="1"/>
  <c r="AV95" i="7"/>
  <c r="AU18" i="8" s="1"/>
  <c r="BD15" i="7"/>
  <c r="BD52" i="7" s="1"/>
  <c r="AQ87" i="7"/>
  <c r="AP10" i="8" s="1"/>
  <c r="BV32" i="7"/>
  <c r="BV69" i="7" s="1"/>
  <c r="BI104" i="7"/>
  <c r="BH27" i="8" s="1"/>
  <c r="BS34" i="7"/>
  <c r="BS71" i="7" s="1"/>
  <c r="BF106" i="7"/>
  <c r="BE29" i="8" s="1"/>
  <c r="BT34" i="7"/>
  <c r="BT71" i="7" s="1"/>
  <c r="BG106" i="7"/>
  <c r="BF29" i="8" s="1"/>
  <c r="BP40" i="7"/>
  <c r="BP77" i="7" s="1"/>
  <c r="BC112" i="7"/>
  <c r="BB35" i="8" s="1"/>
  <c r="BM114" i="7"/>
  <c r="BL37" i="8" s="1"/>
  <c r="BP37" i="7"/>
  <c r="BP74" i="7" s="1"/>
  <c r="BC109" i="7"/>
  <c r="BQ27" i="7"/>
  <c r="BQ64" i="7" s="1"/>
  <c r="BD99" i="7"/>
  <c r="BC22" i="8" s="1"/>
  <c r="AX97" i="7"/>
  <c r="AW20" i="8"/>
  <c r="BR19" i="7"/>
  <c r="BR56" i="7" s="1"/>
  <c r="BE91" i="7"/>
  <c r="BD14" i="8" s="1"/>
  <c r="BQ18" i="7"/>
  <c r="BQ55" i="7" s="1"/>
  <c r="BD90" i="7"/>
  <c r="BC13" i="8" s="1"/>
  <c r="BD33" i="7"/>
  <c r="BD70" i="7" s="1"/>
  <c r="AQ105" i="7"/>
  <c r="AP28" i="8" s="1"/>
  <c r="BN34" i="7"/>
  <c r="BN71" i="7" s="1"/>
  <c r="BA106" i="7"/>
  <c r="AZ29" i="8" s="1"/>
  <c r="BN33" i="7"/>
  <c r="BN70" i="7" s="1"/>
  <c r="BA105" i="7"/>
  <c r="AZ28" i="8" s="1"/>
  <c r="BV113" i="7"/>
  <c r="BU36" i="8" s="1"/>
  <c r="BO35" i="7"/>
  <c r="BO72" i="7" s="1"/>
  <c r="BB107" i="7"/>
  <c r="BA30" i="8" s="1"/>
  <c r="BR98" i="7"/>
  <c r="BQ21" i="8" s="1"/>
  <c r="BV27" i="7"/>
  <c r="BV64" i="7" s="1"/>
  <c r="BI99" i="7"/>
  <c r="BH22" i="8" s="1"/>
  <c r="BD39" i="7"/>
  <c r="BD76" i="7" s="1"/>
  <c r="AQ111" i="7"/>
  <c r="AP34" i="8" s="1"/>
  <c r="BK80" i="7"/>
  <c r="AX99" i="7"/>
  <c r="AW22" i="8"/>
  <c r="BW21" i="7"/>
  <c r="BW58" i="7" s="1"/>
  <c r="BJ93" i="7"/>
  <c r="BT17" i="7"/>
  <c r="BT54" i="7" s="1"/>
  <c r="BG89" i="7"/>
  <c r="BF12" i="8" s="1"/>
  <c r="BO27" i="7"/>
  <c r="BO64" i="7" s="1"/>
  <c r="BB99" i="7"/>
  <c r="BA22" i="8" s="1"/>
  <c r="BT39" i="7"/>
  <c r="BT76" i="7" s="1"/>
  <c r="BG111" i="7"/>
  <c r="BF34" i="8" s="1"/>
  <c r="BA112" i="7"/>
  <c r="AZ35" i="8" s="1"/>
  <c r="AJ35" i="8"/>
  <c r="BV35" i="7"/>
  <c r="BV72" i="7" s="1"/>
  <c r="BI107" i="7"/>
  <c r="BH30" i="8" s="1"/>
  <c r="BS26" i="7"/>
  <c r="BS63" i="7" s="1"/>
  <c r="BF98" i="7"/>
  <c r="BE21" i="8" s="1"/>
  <c r="BR38" i="7"/>
  <c r="BR75" i="7" s="1"/>
  <c r="BE110" i="7"/>
  <c r="BD33" i="8" s="1"/>
  <c r="BO31" i="7"/>
  <c r="BO68" i="7" s="1"/>
  <c r="BB103" i="7"/>
  <c r="BA26" i="8" s="1"/>
  <c r="BR40" i="7"/>
  <c r="BR77" i="7" s="1"/>
  <c r="BE112" i="7"/>
  <c r="BD35" i="8" s="1"/>
  <c r="BU97" i="7"/>
  <c r="BT20" i="8" s="1"/>
  <c r="BS25" i="7"/>
  <c r="BS62" i="7" s="1"/>
  <c r="BF97" i="7"/>
  <c r="BE20" i="8" s="1"/>
  <c r="BV39" i="7"/>
  <c r="BV76" i="7" s="1"/>
  <c r="BI111" i="7"/>
  <c r="BH34" i="8" s="1"/>
  <c r="BM36" i="7"/>
  <c r="BM73" i="7" s="1"/>
  <c r="AZ108" i="7"/>
  <c r="AY31" i="8" s="1"/>
  <c r="BM26" i="7"/>
  <c r="BM63" i="7" s="1"/>
  <c r="AZ98" i="7"/>
  <c r="AY21" i="8" s="1"/>
  <c r="AY90" i="7"/>
  <c r="AY96" i="7"/>
  <c r="AX19" i="8" s="1"/>
  <c r="AL92" i="7"/>
  <c r="AK15" i="8" s="1"/>
  <c r="AY98" i="7"/>
  <c r="AX21" i="8" s="1"/>
  <c r="AL113" i="7"/>
  <c r="AK36" i="8" s="1"/>
  <c r="BL115" i="7"/>
  <c r="BK38" i="8" s="1"/>
  <c r="BF19" i="7"/>
  <c r="BF56" i="7" s="1"/>
  <c r="AS91" i="7"/>
  <c r="AR14" i="8" s="1"/>
  <c r="BB16" i="7"/>
  <c r="BB53" i="7" s="1"/>
  <c r="AO88" i="7"/>
  <c r="AN11" i="8" s="1"/>
  <c r="BB23" i="7"/>
  <c r="BB60" i="7" s="1"/>
  <c r="AO95" i="7"/>
  <c r="AN18" i="8" s="1"/>
  <c r="BF20" i="7"/>
  <c r="BF57" i="7" s="1"/>
  <c r="AS92" i="7"/>
  <c r="AR15" i="8" s="1"/>
  <c r="AY107" i="7"/>
  <c r="AX30" i="8" s="1"/>
  <c r="BB15" i="7"/>
  <c r="BB52" i="7" s="1"/>
  <c r="AO87" i="7"/>
  <c r="AN10" i="8" s="1"/>
  <c r="BF22" i="7"/>
  <c r="BF59" i="7" s="1"/>
  <c r="AS94" i="7"/>
  <c r="AR17" i="8" s="1"/>
  <c r="AZ20" i="7"/>
  <c r="AZ57" i="7" s="1"/>
  <c r="AM92" i="7"/>
  <c r="AL15" i="8" s="1"/>
  <c r="AY109" i="7"/>
  <c r="AL103" i="7"/>
  <c r="AK26" i="8" s="1"/>
  <c r="BM37" i="7"/>
  <c r="BM74" i="7" s="1"/>
  <c r="AZ109" i="7"/>
  <c r="BV114" i="7"/>
  <c r="BU37" i="8" s="1"/>
  <c r="AV81" i="7"/>
  <c r="AP10" i="3" s="1"/>
  <c r="BT37" i="7"/>
  <c r="BT74" i="7" s="1"/>
  <c r="BG109" i="7"/>
  <c r="AK110" i="7"/>
  <c r="BO37" i="7"/>
  <c r="BO74" i="7" s="1"/>
  <c r="BB109" i="7"/>
  <c r="BR99" i="7"/>
  <c r="BQ22" i="8" s="1"/>
  <c r="BT113" i="7"/>
  <c r="BS36" i="8" s="1"/>
  <c r="AK114" i="7"/>
  <c r="AJ37" i="8"/>
  <c r="BN15" i="7"/>
  <c r="BN52" i="7" s="1"/>
  <c r="BA87" i="7"/>
  <c r="AZ10" i="8" s="1"/>
  <c r="BM23" i="7"/>
  <c r="BM60" i="7" s="1"/>
  <c r="AZ95" i="7"/>
  <c r="AY18" i="8" s="1"/>
  <c r="BS18" i="7"/>
  <c r="BS55" i="7" s="1"/>
  <c r="BF90" i="7"/>
  <c r="BE13" i="8" s="1"/>
  <c r="BU23" i="7"/>
  <c r="BU60" i="7" s="1"/>
  <c r="BH95" i="7"/>
  <c r="BG18" i="8" s="1"/>
  <c r="BN19" i="7"/>
  <c r="BN56" i="7" s="1"/>
  <c r="BA91" i="7"/>
  <c r="AZ14" i="8" s="1"/>
  <c r="BS21" i="7"/>
  <c r="BS58" i="7" s="1"/>
  <c r="BF93" i="7"/>
  <c r="BW18" i="7"/>
  <c r="BW55" i="7" s="1"/>
  <c r="BJ90" i="7"/>
  <c r="BI13" i="8" s="1"/>
  <c r="BO20" i="7"/>
  <c r="BO57" i="7" s="1"/>
  <c r="BB92" i="7"/>
  <c r="BA15" i="8" s="1"/>
  <c r="BR16" i="7"/>
  <c r="BR53" i="7" s="1"/>
  <c r="BE88" i="7"/>
  <c r="BD11" i="8" s="1"/>
  <c r="BW26" i="7"/>
  <c r="BW63" i="7" s="1"/>
  <c r="BJ98" i="7"/>
  <c r="BI21" i="8" s="1"/>
  <c r="AK92" i="7"/>
  <c r="AJ15" i="8"/>
  <c r="AK89" i="7"/>
  <c r="BP115" i="7"/>
  <c r="BO38" i="8" s="1"/>
  <c r="BN23" i="7"/>
  <c r="BN60" i="7" s="1"/>
  <c r="BA95" i="7"/>
  <c r="AZ18" i="8" s="1"/>
  <c r="BS17" i="7"/>
  <c r="BS54" i="7" s="1"/>
  <c r="BF89" i="7"/>
  <c r="BE12" i="8" s="1"/>
  <c r="BP22" i="7"/>
  <c r="BP59" i="7" s="1"/>
  <c r="BC94" i="7"/>
  <c r="BB17" i="8" s="1"/>
  <c r="BN22" i="7"/>
  <c r="BN59" i="7" s="1"/>
  <c r="BA94" i="7"/>
  <c r="AZ17" i="8" s="1"/>
  <c r="BR31" i="7"/>
  <c r="BR68" i="7" s="1"/>
  <c r="BE103" i="7"/>
  <c r="BD26" i="8" s="1"/>
  <c r="BT31" i="7"/>
  <c r="BT68" i="7" s="1"/>
  <c r="BG103" i="7"/>
  <c r="BF26" i="8" s="1"/>
  <c r="BN114" i="7"/>
  <c r="BM37" i="8" s="1"/>
  <c r="AK106" i="7"/>
  <c r="AJ29" i="8"/>
  <c r="BV37" i="7"/>
  <c r="BV74" i="7" s="1"/>
  <c r="BI109" i="7"/>
  <c r="BR32" i="7"/>
  <c r="BR69" i="7" s="1"/>
  <c r="BE104" i="7"/>
  <c r="BD27" i="8" s="1"/>
  <c r="BR115" i="7"/>
  <c r="BQ38" i="8" s="1"/>
  <c r="BP98" i="7"/>
  <c r="BO21" i="8" s="1"/>
  <c r="BO36" i="7"/>
  <c r="BO73" i="7" s="1"/>
  <c r="BB108" i="7"/>
  <c r="BA31" i="8" s="1"/>
  <c r="BN113" i="7"/>
  <c r="BM36" i="8" s="1"/>
  <c r="BM33" i="7"/>
  <c r="BM70" i="7" s="1"/>
  <c r="AZ105" i="7"/>
  <c r="AY28" i="8" s="1"/>
  <c r="BW31" i="7"/>
  <c r="BW68" i="7" s="1"/>
  <c r="BJ103" i="7"/>
  <c r="BI26" i="8" s="1"/>
  <c r="BT33" i="7"/>
  <c r="BT70" i="7" s="1"/>
  <c r="BG105" i="7"/>
  <c r="BF28" i="8" s="1"/>
  <c r="BM39" i="7"/>
  <c r="BM76" i="7" s="1"/>
  <c r="AZ111" i="7"/>
  <c r="AY34" i="8" s="1"/>
  <c r="BO32" i="7"/>
  <c r="BO69" i="7" s="1"/>
  <c r="BB104" i="7"/>
  <c r="BA27" i="8" s="1"/>
  <c r="BQ31" i="7"/>
  <c r="BQ68" i="7" s="1"/>
  <c r="BD103" i="7"/>
  <c r="BC26" i="8" s="1"/>
  <c r="BQ25" i="7"/>
  <c r="BQ62" i="7" s="1"/>
  <c r="BD97" i="7"/>
  <c r="BC20" i="8" s="1"/>
  <c r="BH38" i="7"/>
  <c r="AU110" i="7"/>
  <c r="AT33" i="8" s="1"/>
  <c r="BH40" i="7"/>
  <c r="AU112" i="7"/>
  <c r="AT35" i="8" s="1"/>
  <c r="AX77" i="7"/>
  <c r="AK95" i="7"/>
  <c r="AJ18" i="8"/>
  <c r="BT20" i="7"/>
  <c r="BT57" i="7" s="1"/>
  <c r="BG92" i="7"/>
  <c r="BF15" i="8" s="1"/>
  <c r="BP23" i="7"/>
  <c r="BP60" i="7" s="1"/>
  <c r="BC95" i="7"/>
  <c r="BB18" i="8" s="1"/>
  <c r="BW32" i="7"/>
  <c r="BW69" i="7" s="1"/>
  <c r="BJ104" i="7"/>
  <c r="BI27" i="8" s="1"/>
  <c r="AK112" i="7"/>
  <c r="BQ32" i="7"/>
  <c r="BQ69" i="7" s="1"/>
  <c r="BD104" i="7"/>
  <c r="BC27" i="8" s="1"/>
  <c r="AM81" i="7"/>
  <c r="AG10" i="3" s="1"/>
  <c r="BU34" i="7"/>
  <c r="BU71" i="7" s="1"/>
  <c r="BH106" i="7"/>
  <c r="BG29" i="8" s="1"/>
  <c r="AS81" i="7"/>
  <c r="AM10" i="3" s="1"/>
  <c r="BV115" i="7"/>
  <c r="BU38" i="8" s="1"/>
  <c r="BS40" i="7"/>
  <c r="BS77" i="7" s="1"/>
  <c r="BF112" i="7"/>
  <c r="BE35" i="8" s="1"/>
  <c r="BM38" i="7"/>
  <c r="BM75" i="7" s="1"/>
  <c r="AZ110" i="7"/>
  <c r="AY33" i="8" s="1"/>
  <c r="BQ38" i="7"/>
  <c r="BQ75" i="7" s="1"/>
  <c r="BD110" i="7"/>
  <c r="BC33" i="8" s="1"/>
  <c r="BM115" i="7"/>
  <c r="BL38" i="8" s="1"/>
  <c r="BN37" i="7"/>
  <c r="BN74" i="7" s="1"/>
  <c r="BA109" i="7"/>
  <c r="BQ19" i="7"/>
  <c r="BQ56" i="7" s="1"/>
  <c r="BD91" i="7"/>
  <c r="BC14" i="8" s="1"/>
  <c r="BO39" i="7"/>
  <c r="BO76" i="7" s="1"/>
  <c r="BB111" i="7"/>
  <c r="BA34" i="8" s="1"/>
  <c r="BS35" i="7"/>
  <c r="BS72" i="7" s="1"/>
  <c r="BF107" i="7"/>
  <c r="BE30" i="8" s="1"/>
  <c r="BO114" i="7"/>
  <c r="BN37" i="8" s="1"/>
  <c r="AY99" i="7"/>
  <c r="AX22" i="8" s="1"/>
  <c r="BD21" i="7"/>
  <c r="BD58" i="7" s="1"/>
  <c r="AQ93" i="7"/>
  <c r="BB22" i="7"/>
  <c r="BB59" i="7" s="1"/>
  <c r="AO94" i="7"/>
  <c r="AN17" i="8" s="1"/>
  <c r="BR33" i="7"/>
  <c r="BR70" i="7" s="1"/>
  <c r="BE105" i="7"/>
  <c r="BD28" i="8" s="1"/>
  <c r="BP17" i="7"/>
  <c r="BP54" i="7" s="1"/>
  <c r="BC89" i="7"/>
  <c r="BB12" i="8" s="1"/>
  <c r="BU16" i="7"/>
  <c r="BU53" i="7" s="1"/>
  <c r="BH88" i="7"/>
  <c r="BG11" i="8" s="1"/>
  <c r="BN20" i="7"/>
  <c r="BN57" i="7" s="1"/>
  <c r="BA92" i="7"/>
  <c r="AZ15" i="8" s="1"/>
  <c r="BP21" i="7"/>
  <c r="BP58" i="7" s="1"/>
  <c r="BC93" i="7"/>
  <c r="AT81" i="7"/>
  <c r="AN10" i="3" s="1"/>
  <c r="BR113" i="7"/>
  <c r="BQ36" i="8" s="1"/>
  <c r="BP32" i="7"/>
  <c r="BP69" i="7" s="1"/>
  <c r="BC104" i="7"/>
  <c r="BB27" i="8" s="1"/>
  <c r="BQ26" i="7"/>
  <c r="BQ63" i="7" s="1"/>
  <c r="BD98" i="7"/>
  <c r="BC21" i="8" s="1"/>
  <c r="AL91" i="7"/>
  <c r="AK14" i="8" s="1"/>
  <c r="AL95" i="7"/>
  <c r="AK18" i="8" s="1"/>
  <c r="AL88" i="7"/>
  <c r="AL87" i="7"/>
  <c r="BF23" i="7"/>
  <c r="BF60" i="7" s="1"/>
  <c r="AS95" i="7"/>
  <c r="AR18" i="8" s="1"/>
  <c r="BB18" i="7"/>
  <c r="BB55" i="7" s="1"/>
  <c r="AO90" i="7"/>
  <c r="AN13" i="8" s="1"/>
  <c r="AK57" i="7"/>
  <c r="AL114" i="7"/>
  <c r="AK37" i="8" s="1"/>
  <c r="AX79" i="7"/>
  <c r="AZ18" i="7"/>
  <c r="AZ55" i="7" s="1"/>
  <c r="AM90" i="7"/>
  <c r="AL13" i="8" s="1"/>
  <c r="AY104" i="7"/>
  <c r="AX27" i="8" s="1"/>
  <c r="BI17" i="7"/>
  <c r="BI54" i="7" s="1"/>
  <c r="AV89" i="7"/>
  <c r="AU12" i="8" s="1"/>
  <c r="BF24" i="7"/>
  <c r="BF61" i="7" s="1"/>
  <c r="AS96" i="7"/>
  <c r="AR19" i="8" s="1"/>
  <c r="BI19" i="7"/>
  <c r="BI56" i="7" s="1"/>
  <c r="AV91" i="7"/>
  <c r="AU14" i="8" s="1"/>
  <c r="BB19" i="7"/>
  <c r="BB56" i="7" s="1"/>
  <c r="AO91" i="7"/>
  <c r="AN14" i="8" s="1"/>
  <c r="BD16" i="7"/>
  <c r="BD53" i="7" s="1"/>
  <c r="AQ88" i="7"/>
  <c r="AP11" i="8" s="1"/>
  <c r="AZ22" i="7"/>
  <c r="AZ59" i="7" s="1"/>
  <c r="AM94" i="7"/>
  <c r="AL17" i="8" s="1"/>
  <c r="BU37" i="7"/>
  <c r="BU74" i="7" s="1"/>
  <c r="BH109" i="7"/>
  <c r="BO40" i="7"/>
  <c r="BO77" i="7" s="1"/>
  <c r="BS114" i="7"/>
  <c r="BR37" i="8" s="1"/>
  <c r="BM113" i="7"/>
  <c r="BL36" i="8" s="1"/>
  <c r="BP31" i="7"/>
  <c r="BP68" i="7" s="1"/>
  <c r="BC103" i="7"/>
  <c r="BB26" i="8" s="1"/>
  <c r="BM31" i="7"/>
  <c r="BM68" i="7" s="1"/>
  <c r="AZ103" i="7"/>
  <c r="AY26" i="8" s="1"/>
  <c r="BN98" i="7"/>
  <c r="BM21" i="8" s="1"/>
  <c r="BN115" i="7"/>
  <c r="BM38" i="8" s="1"/>
  <c r="BM21" i="7"/>
  <c r="BM58" i="7" s="1"/>
  <c r="AZ93" i="7"/>
  <c r="BT18" i="7"/>
  <c r="BT55" i="7" s="1"/>
  <c r="BG90" i="7"/>
  <c r="BF13" i="8" s="1"/>
  <c r="BR18" i="7"/>
  <c r="BR55" i="7" s="1"/>
  <c r="BE90" i="7"/>
  <c r="BD13" i="8" s="1"/>
  <c r="BP19" i="7"/>
  <c r="BP56" i="7" s="1"/>
  <c r="BC91" i="7"/>
  <c r="BB14" i="8" s="1"/>
  <c r="BV25" i="7"/>
  <c r="BV62" i="7" s="1"/>
  <c r="BI97" i="7"/>
  <c r="BH20" i="8" s="1"/>
  <c r="BW16" i="7"/>
  <c r="BW53" i="7" s="1"/>
  <c r="BJ88" i="7"/>
  <c r="BI11" i="8" s="1"/>
  <c r="BV18" i="7"/>
  <c r="BV55" i="7" s="1"/>
  <c r="BI90" i="7"/>
  <c r="BH13" i="8" s="1"/>
  <c r="BR23" i="7"/>
  <c r="BR60" i="7" s="1"/>
  <c r="BE95" i="7"/>
  <c r="BD18" i="8" s="1"/>
  <c r="BP16" i="7"/>
  <c r="BP53" i="7" s="1"/>
  <c r="BC88" i="7"/>
  <c r="BB11" i="8" s="1"/>
  <c r="BM27" i="7"/>
  <c r="BM64" i="7" s="1"/>
  <c r="AZ99" i="7"/>
  <c r="AY22" i="8" s="1"/>
  <c r="AH117" i="7"/>
  <c r="AB15" i="3" s="1"/>
  <c r="AJ27" i="8"/>
  <c r="BW27" i="7"/>
  <c r="BW64" i="7" s="1"/>
  <c r="BJ99" i="7"/>
  <c r="BI22" i="8" s="1"/>
  <c r="BT19" i="7"/>
  <c r="BT56" i="7" s="1"/>
  <c r="BG91" i="7"/>
  <c r="BF14" i="8" s="1"/>
  <c r="BP24" i="7"/>
  <c r="BP61" i="7" s="1"/>
  <c r="BC96" i="7"/>
  <c r="BB19" i="8" s="1"/>
  <c r="BW25" i="7"/>
  <c r="BW62" i="7" s="1"/>
  <c r="BJ97" i="7"/>
  <c r="BI20" i="8" s="1"/>
  <c r="BO24" i="7"/>
  <c r="BO61" i="7" s="1"/>
  <c r="BB96" i="7"/>
  <c r="BA19" i="8" s="1"/>
  <c r="BV20" i="7"/>
  <c r="BV57" i="7" s="1"/>
  <c r="BI92" i="7"/>
  <c r="BH15" i="8" s="1"/>
  <c r="AK87" i="7"/>
  <c r="BM34" i="7"/>
  <c r="BM71" i="7" s="1"/>
  <c r="AZ106" i="7"/>
  <c r="AY29" i="8" s="1"/>
  <c r="BN97" i="7"/>
  <c r="BM20" i="8" s="1"/>
  <c r="BR36" i="7"/>
  <c r="BR73" i="7" s="1"/>
  <c r="BE108" i="7"/>
  <c r="BD31" i="8" s="1"/>
  <c r="BN38" i="7"/>
  <c r="BN75" i="7" s="1"/>
  <c r="BA110" i="7"/>
  <c r="AZ33" i="8" s="1"/>
  <c r="BT32" i="7"/>
  <c r="BT69" i="7" s="1"/>
  <c r="BG104" i="7"/>
  <c r="BF27" i="8" s="1"/>
  <c r="AJ17" i="8"/>
  <c r="AK94" i="7"/>
  <c r="BW38" i="7"/>
  <c r="BW75" i="7" s="1"/>
  <c r="BJ110" i="7"/>
  <c r="BI33" i="8" s="1"/>
  <c r="BR114" i="7"/>
  <c r="BQ37" i="8" s="1"/>
  <c r="BT114" i="7"/>
  <c r="BS37" i="8" s="1"/>
  <c r="BV34" i="7"/>
  <c r="BV71" i="7" s="1"/>
  <c r="BI106" i="7"/>
  <c r="BH29" i="8" s="1"/>
  <c r="BV36" i="7"/>
  <c r="BV73" i="7" s="1"/>
  <c r="BI108" i="7"/>
  <c r="BH31" i="8" s="1"/>
  <c r="AK113" i="7"/>
  <c r="AJ36" i="8"/>
  <c r="BH31" i="7"/>
  <c r="BH68" i="7" s="1"/>
  <c r="AU103" i="7"/>
  <c r="AT26" i="8" s="1"/>
  <c r="BW20" i="7"/>
  <c r="BW57" i="7" s="1"/>
  <c r="BJ92" i="7"/>
  <c r="BI15" i="8" s="1"/>
  <c r="BM17" i="7"/>
  <c r="BM54" i="7" s="1"/>
  <c r="AZ89" i="7"/>
  <c r="AY12" i="8" s="1"/>
  <c r="BR20" i="7"/>
  <c r="BR57" i="7" s="1"/>
  <c r="BE92" i="7"/>
  <c r="BD15" i="8" s="1"/>
  <c r="BO26" i="7"/>
  <c r="BO63" i="7" s="1"/>
  <c r="BB98" i="7"/>
  <c r="BA21" i="8" s="1"/>
  <c r="BU15" i="7"/>
  <c r="BU52" i="7" s="1"/>
  <c r="BH87" i="7"/>
  <c r="BG10" i="8" s="1"/>
  <c r="BU19" i="7"/>
  <c r="BU56" i="7" s="1"/>
  <c r="BH91" i="7"/>
  <c r="BG14" i="8" s="1"/>
  <c r="BS115" i="7"/>
  <c r="BR38" i="8" s="1"/>
  <c r="AK108" i="7"/>
  <c r="AJ31" i="8"/>
  <c r="BU113" i="7"/>
  <c r="BT36" i="8" s="1"/>
  <c r="BS31" i="7"/>
  <c r="BS68" i="7" s="1"/>
  <c r="BF103" i="7"/>
  <c r="BE26" i="8" s="1"/>
  <c r="AO81" i="7"/>
  <c r="AI10" i="3" s="1"/>
  <c r="BW35" i="7"/>
  <c r="BW72" i="7" s="1"/>
  <c r="BT38" i="7"/>
  <c r="BT75" i="7" s="1"/>
  <c r="BG110" i="7"/>
  <c r="BF33" i="8" s="1"/>
  <c r="BT40" i="7"/>
  <c r="BT77" i="7" s="1"/>
  <c r="BG112" i="7"/>
  <c r="BF35" i="8" s="1"/>
  <c r="BQ36" i="7"/>
  <c r="BQ73" i="7" s="1"/>
  <c r="BD108" i="7"/>
  <c r="BC31" i="8" s="1"/>
  <c r="BT35" i="7"/>
  <c r="BT72" i="7" s="1"/>
  <c r="BG107" i="7"/>
  <c r="BF30" i="8" s="1"/>
  <c r="BS39" i="7"/>
  <c r="BS76" i="7" s="1"/>
  <c r="BF111" i="7"/>
  <c r="BE34" i="8" s="1"/>
  <c r="AX63" i="7"/>
  <c r="AK68" i="7"/>
  <c r="Y81" i="7"/>
  <c r="S10" i="3" s="1"/>
  <c r="BD37" i="7"/>
  <c r="AQ109" i="7"/>
  <c r="AL93" i="7"/>
  <c r="BB17" i="7"/>
  <c r="BB54" i="7" s="1"/>
  <c r="AO89" i="7"/>
  <c r="AN12" i="8" s="1"/>
  <c r="BB21" i="7"/>
  <c r="BB58" i="7" s="1"/>
  <c r="AO93" i="7"/>
  <c r="BP36" i="7"/>
  <c r="BP73" i="7" s="1"/>
  <c r="BC108" i="7"/>
  <c r="BB31" i="8" s="1"/>
  <c r="BM40" i="7"/>
  <c r="BM77" i="7" s="1"/>
  <c r="AZ112" i="7"/>
  <c r="AY35" i="8" s="1"/>
  <c r="BU36" i="7"/>
  <c r="BU73" i="7" s="1"/>
  <c r="BH108" i="7"/>
  <c r="BG31" i="8" s="1"/>
  <c r="BS33" i="7"/>
  <c r="BS70" i="7" s="1"/>
  <c r="BF105" i="7"/>
  <c r="BE28" i="8" s="1"/>
  <c r="BN16" i="7"/>
  <c r="BN53" i="7" s="1"/>
  <c r="BA88" i="7"/>
  <c r="AZ11" i="8" s="1"/>
  <c r="BM16" i="7"/>
  <c r="BM53" i="7" s="1"/>
  <c r="AZ88" i="7"/>
  <c r="AY11" i="8" s="1"/>
  <c r="BN21" i="7"/>
  <c r="BN58" i="7" s="1"/>
  <c r="BA93" i="7"/>
  <c r="BU115" i="7"/>
  <c r="BT38" i="8" s="1"/>
  <c r="BR24" i="7"/>
  <c r="BR61" i="7" s="1"/>
  <c r="BE96" i="7"/>
  <c r="BD19" i="8" s="1"/>
  <c r="AX98" i="7"/>
  <c r="AW21" i="8"/>
  <c r="BS113" i="7"/>
  <c r="BR36" i="8" s="1"/>
  <c r="BP34" i="7"/>
  <c r="BP71" i="7" s="1"/>
  <c r="BC106" i="7"/>
  <c r="BB29" i="8" s="1"/>
  <c r="BO115" i="7"/>
  <c r="BN38" i="8" s="1"/>
  <c r="BH33" i="7"/>
  <c r="BH70" i="7" s="1"/>
  <c r="AU105" i="7"/>
  <c r="AT28" i="8" s="1"/>
  <c r="BO38" i="7"/>
  <c r="BO75" i="7" s="1"/>
  <c r="BB110" i="7"/>
  <c r="BA33" i="8" s="1"/>
  <c r="BV22" i="7"/>
  <c r="BV59" i="7" s="1"/>
  <c r="BI94" i="7"/>
  <c r="BH17" i="8" s="1"/>
  <c r="AY97" i="7"/>
  <c r="AX20" i="8" s="1"/>
  <c r="AL106" i="7"/>
  <c r="AK29" i="8" s="1"/>
  <c r="AX71" i="7"/>
  <c r="BI21" i="7"/>
  <c r="BI58" i="7" s="1"/>
  <c r="AV93" i="7"/>
  <c r="BD17" i="7"/>
  <c r="BD54" i="7" s="1"/>
  <c r="AQ89" i="7"/>
  <c r="AP12" i="8" s="1"/>
  <c r="BD20" i="7"/>
  <c r="BD57" i="7" s="1"/>
  <c r="AQ92" i="7"/>
  <c r="AP15" i="8" s="1"/>
  <c r="AY105" i="7"/>
  <c r="AX28" i="8" s="1"/>
  <c r="AL111" i="7"/>
  <c r="AK34" i="8" s="1"/>
  <c r="BD23" i="7"/>
  <c r="BD60" i="7" s="1"/>
  <c r="AQ95" i="7"/>
  <c r="AP18" i="8" s="1"/>
  <c r="AZ24" i="7"/>
  <c r="AZ61" i="7" s="1"/>
  <c r="AM96" i="7"/>
  <c r="AL19" i="8" s="1"/>
  <c r="AL108" i="7"/>
  <c r="AK31" i="8" s="1"/>
  <c r="AX73" i="7"/>
  <c r="BD24" i="7"/>
  <c r="BD61" i="7" s="1"/>
  <c r="AQ96" i="7"/>
  <c r="AP19" i="8" s="1"/>
  <c r="BF16" i="7"/>
  <c r="BF53" i="7" s="1"/>
  <c r="AS88" i="7"/>
  <c r="AR11" i="8" s="1"/>
  <c r="AY110" i="7"/>
  <c r="AX33" i="8" s="1"/>
  <c r="AK58" i="7"/>
  <c r="BV38" i="7"/>
  <c r="BV75" i="7" s="1"/>
  <c r="BI110" i="7"/>
  <c r="BH33" i="8" s="1"/>
  <c r="BU114" i="7"/>
  <c r="BT37" i="8" s="1"/>
  <c r="BV31" i="7"/>
  <c r="BV68" i="7" s="1"/>
  <c r="BI103" i="7"/>
  <c r="BH26" i="8" s="1"/>
  <c r="BM35" i="7"/>
  <c r="BM72" i="7" s="1"/>
  <c r="AZ107" i="7"/>
  <c r="AY30" i="8" s="1"/>
  <c r="BW39" i="7"/>
  <c r="BW76" i="7" s="1"/>
  <c r="BJ111" i="7"/>
  <c r="BI34" i="8" s="1"/>
  <c r="BN36" i="7"/>
  <c r="BN73" i="7" s="1"/>
  <c r="BA108" i="7"/>
  <c r="AZ31" i="8" s="1"/>
  <c r="BO33" i="7"/>
  <c r="BO70" i="7" s="1"/>
  <c r="BB105" i="7"/>
  <c r="BA28" i="8" s="1"/>
  <c r="BP114" i="7"/>
  <c r="BO37" i="8" s="1"/>
  <c r="BW113" i="7"/>
  <c r="BV36" i="8" s="1"/>
  <c r="BS38" i="7"/>
  <c r="BS75" i="7" s="1"/>
  <c r="BF110" i="7"/>
  <c r="BE33" i="8" s="1"/>
  <c r="BQ115" i="7"/>
  <c r="BP38" i="8" s="1"/>
  <c r="AK111" i="7"/>
  <c r="AJ34" i="8"/>
  <c r="BV26" i="7"/>
  <c r="BV63" i="7" s="1"/>
  <c r="BI98" i="7"/>
  <c r="BH21" i="8" s="1"/>
  <c r="AN65" i="7"/>
  <c r="AH9" i="3" s="1"/>
  <c r="BR17" i="7"/>
  <c r="BR54" i="7" s="1"/>
  <c r="BE89" i="7"/>
  <c r="BD12" i="8" s="1"/>
  <c r="BP18" i="7"/>
  <c r="BP55" i="7" s="1"/>
  <c r="BC90" i="7"/>
  <c r="BB13" i="8" s="1"/>
  <c r="BW23" i="7"/>
  <c r="BW60" i="7" s="1"/>
  <c r="BJ95" i="7"/>
  <c r="BI18" i="8" s="1"/>
  <c r="BT26" i="7"/>
  <c r="BT63" i="7" s="1"/>
  <c r="BG98" i="7"/>
  <c r="BF21" i="8" s="1"/>
  <c r="BR21" i="7"/>
  <c r="BR58" i="7" s="1"/>
  <c r="BE93" i="7"/>
  <c r="BU17" i="7"/>
  <c r="BU54" i="7" s="1"/>
  <c r="BH89" i="7"/>
  <c r="BG12" i="8" s="1"/>
  <c r="BU18" i="7"/>
  <c r="BU55" i="7" s="1"/>
  <c r="BH90" i="7"/>
  <c r="BG13" i="8" s="1"/>
  <c r="BQ22" i="7"/>
  <c r="BQ59" i="7" s="1"/>
  <c r="BD94" i="7"/>
  <c r="BC17" i="8" s="1"/>
  <c r="AK88" i="7"/>
  <c r="BH32" i="7"/>
  <c r="BH69" i="7" s="1"/>
  <c r="AU104" i="7"/>
  <c r="BN24" i="7"/>
  <c r="BN61" i="7" s="1"/>
  <c r="BA96" i="7"/>
  <c r="AZ19" i="8" s="1"/>
  <c r="BW15" i="7"/>
  <c r="BW52" i="7" s="1"/>
  <c r="BJ87" i="7"/>
  <c r="BI10" i="8" s="1"/>
  <c r="BU24" i="7"/>
  <c r="BU61" i="7" s="1"/>
  <c r="BH96" i="7"/>
  <c r="BG19" i="8" s="1"/>
  <c r="BR15" i="7"/>
  <c r="BR52" i="7" s="1"/>
  <c r="BE87" i="7"/>
  <c r="BD10" i="8" s="1"/>
  <c r="BT27" i="7"/>
  <c r="BT64" i="7" s="1"/>
  <c r="BG99" i="7"/>
  <c r="BF22" i="8" s="1"/>
  <c r="BC111" i="7"/>
  <c r="BB34" i="8" s="1"/>
  <c r="BS37" i="7"/>
  <c r="BS74" i="7" s="1"/>
  <c r="BF109" i="7"/>
  <c r="BO34" i="7"/>
  <c r="BO71" i="7" s="1"/>
  <c r="BB106" i="7"/>
  <c r="BA29" i="8" s="1"/>
  <c r="BT25" i="7"/>
  <c r="BT62" i="7" s="1"/>
  <c r="BG97" i="7"/>
  <c r="BF20" i="8" s="1"/>
  <c r="BO25" i="7"/>
  <c r="BO62" i="7" s="1"/>
  <c r="BB97" i="7"/>
  <c r="BA20" i="8" s="1"/>
  <c r="BQ34" i="7"/>
  <c r="BQ71" i="7" s="1"/>
  <c r="BD106" i="7"/>
  <c r="BC29" i="8" s="1"/>
  <c r="BT36" i="7"/>
  <c r="BT73" i="7" s="1"/>
  <c r="BG108" i="7"/>
  <c r="BF31" i="8" s="1"/>
  <c r="BW36" i="7"/>
  <c r="BW73" i="7" s="1"/>
  <c r="BJ108" i="7"/>
  <c r="BI31" i="8" s="1"/>
  <c r="BN35" i="7"/>
  <c r="BN72" i="7" s="1"/>
  <c r="BA107" i="7"/>
  <c r="AZ30" i="8" s="1"/>
  <c r="BR34" i="7"/>
  <c r="BR71" i="7" s="1"/>
  <c r="BE106" i="7"/>
  <c r="BD29" i="8" s="1"/>
  <c r="BS27" i="7"/>
  <c r="BS64" i="7" s="1"/>
  <c r="BF99" i="7"/>
  <c r="BE22" i="8" s="1"/>
  <c r="BD35" i="7"/>
  <c r="AQ107" i="7"/>
  <c r="AP30" i="8" s="1"/>
  <c r="AX72" i="7"/>
  <c r="AX64" i="7"/>
  <c r="BP38" i="7"/>
  <c r="BP75" i="7" s="1"/>
  <c r="BC110" i="7"/>
  <c r="BB33" i="8" s="1"/>
  <c r="BU21" i="7"/>
  <c r="BU58" i="7" s="1"/>
  <c r="BH93" i="7"/>
  <c r="BN18" i="7"/>
  <c r="BN55" i="7" s="1"/>
  <c r="BA90" i="7"/>
  <c r="AZ13" i="8" s="1"/>
  <c r="BM25" i="7"/>
  <c r="BM62" i="7" s="1"/>
  <c r="AZ97" i="7"/>
  <c r="AY20" i="8" s="1"/>
  <c r="BN99" i="7"/>
  <c r="BM22" i="8" s="1"/>
  <c r="BS32" i="7"/>
  <c r="BS69" i="7" s="1"/>
  <c r="BF104" i="7"/>
  <c r="BE27" i="8" s="1"/>
  <c r="AK91" i="7"/>
  <c r="AJ14" i="8"/>
  <c r="BM32" i="7"/>
  <c r="BM69" i="7" s="1"/>
  <c r="AZ104" i="7"/>
  <c r="AY27" i="8" s="1"/>
  <c r="BQ114" i="7"/>
  <c r="BP37" i="8" s="1"/>
  <c r="BP97" i="7"/>
  <c r="BO20" i="8" s="1"/>
  <c r="BN32" i="7"/>
  <c r="BN69" i="7" s="1"/>
  <c r="BA104" i="7"/>
  <c r="AZ27" i="8" s="1"/>
  <c r="BP33" i="7"/>
  <c r="BP70" i="7" s="1"/>
  <c r="BC105" i="7"/>
  <c r="BB28" i="8" s="1"/>
  <c r="BP35" i="7"/>
  <c r="BP72" i="7" s="1"/>
  <c r="BC107" i="7"/>
  <c r="BB30" i="8" s="1"/>
  <c r="BS36" i="7"/>
  <c r="BS73" i="7" s="1"/>
  <c r="BF108" i="7"/>
  <c r="BE31" i="8" s="1"/>
  <c r="BR97" i="7"/>
  <c r="BQ20" i="8" s="1"/>
  <c r="BU20" i="7"/>
  <c r="BU57" i="7" s="1"/>
  <c r="BH92" i="7"/>
  <c r="BG15" i="8" s="1"/>
  <c r="BT115" i="7"/>
  <c r="BS38" i="8" s="1"/>
  <c r="BU99" i="7"/>
  <c r="BT22" i="8" s="1"/>
  <c r="BD41" i="7"/>
  <c r="BD78" i="7" s="1"/>
  <c r="AQ113" i="7"/>
  <c r="AP36" i="8" s="1"/>
  <c r="Y117" i="7"/>
  <c r="S15" i="3" s="1"/>
  <c r="AK103" i="7"/>
  <c r="I25" i="11"/>
  <c r="BA57" i="11"/>
  <c r="BJ37" i="11"/>
  <c r="J24" i="11"/>
  <c r="K24" i="11" s="1"/>
  <c r="BF37" i="11"/>
  <c r="AY41" i="7"/>
  <c r="AY78" i="7" s="1"/>
  <c r="AX41" i="7"/>
  <c r="W26" i="8"/>
  <c r="AF65" i="7"/>
  <c r="Z9" i="3" s="1"/>
  <c r="Z13" i="3" s="1"/>
  <c r="AX18" i="7"/>
  <c r="AX39" i="7"/>
  <c r="AY39" i="7"/>
  <c r="AY76" i="7" s="1"/>
  <c r="BL35" i="7"/>
  <c r="BL72" i="7" s="1"/>
  <c r="AD65" i="7"/>
  <c r="X9" i="3" s="1"/>
  <c r="AX36" i="7"/>
  <c r="AY36" i="7"/>
  <c r="AY73" i="7" s="1"/>
  <c r="AY42" i="7"/>
  <c r="AY79" i="7" s="1"/>
  <c r="AX42" i="7"/>
  <c r="AB65" i="7"/>
  <c r="V9" i="3" s="1"/>
  <c r="V13" i="3" s="1"/>
  <c r="BL38" i="7"/>
  <c r="BL75" i="7" s="1"/>
  <c r="AX34" i="7"/>
  <c r="AY34" i="7"/>
  <c r="AY71" i="7" s="1"/>
  <c r="AI65" i="7"/>
  <c r="AC9" i="3" s="1"/>
  <c r="AC13" i="3" s="1"/>
  <c r="BL33" i="7"/>
  <c r="BL70" i="7" s="1"/>
  <c r="AK55" i="7"/>
  <c r="AX24" i="7"/>
  <c r="BL32" i="7"/>
  <c r="BL69" i="7" s="1"/>
  <c r="BL37" i="7"/>
  <c r="BL74" i="7" s="1"/>
  <c r="AX31" i="7"/>
  <c r="AY31" i="7"/>
  <c r="AY68" i="7" s="1"/>
  <c r="Z65" i="7"/>
  <c r="T9" i="3" s="1"/>
  <c r="AY19" i="7"/>
  <c r="AY56" i="7" s="1"/>
  <c r="AX19" i="7"/>
  <c r="AY23" i="7"/>
  <c r="AY60" i="7" s="1"/>
  <c r="AX23" i="7"/>
  <c r="AY16" i="7"/>
  <c r="AY53" i="7" s="1"/>
  <c r="AX16" i="7"/>
  <c r="AY15" i="7"/>
  <c r="AY52" i="7" s="1"/>
  <c r="AX15" i="7"/>
  <c r="BL27" i="7"/>
  <c r="BL64" i="7" s="1"/>
  <c r="BK27" i="7"/>
  <c r="AX17" i="7"/>
  <c r="AY17" i="7"/>
  <c r="AY54" i="7" s="1"/>
  <c r="BL18" i="7"/>
  <c r="BL55" i="7" s="1"/>
  <c r="AX21" i="7"/>
  <c r="AY21" i="7"/>
  <c r="AY58" i="7" s="1"/>
  <c r="AY22" i="7"/>
  <c r="AY59" i="7" s="1"/>
  <c r="AX22" i="7"/>
  <c r="BK9" i="7"/>
  <c r="BL9" i="7"/>
  <c r="BF11" i="3" s="1"/>
  <c r="BK25" i="7"/>
  <c r="BL25" i="7"/>
  <c r="BL62" i="7" s="1"/>
  <c r="BL24" i="7"/>
  <c r="BL61" i="7" s="1"/>
  <c r="AY20" i="7"/>
  <c r="AY57" i="7" s="1"/>
  <c r="AX20" i="7"/>
  <c r="BL26" i="7"/>
  <c r="BL63" i="7" s="1"/>
  <c r="BK26" i="7"/>
  <c r="N16" i="8"/>
  <c r="N23" i="8" s="1"/>
  <c r="I20" i="3" s="1"/>
  <c r="R16" i="8"/>
  <c r="R23" i="8" s="1"/>
  <c r="M20" i="3" s="1"/>
  <c r="V16" i="8"/>
  <c r="V23" i="8" s="1"/>
  <c r="Q20" i="3" s="1"/>
  <c r="Q16" i="8"/>
  <c r="Q23" i="8" s="1"/>
  <c r="L20" i="3" s="1"/>
  <c r="K16" i="8"/>
  <c r="K23" i="8" s="1"/>
  <c r="F20" i="3" s="1"/>
  <c r="O16" i="8"/>
  <c r="O23" i="8" s="1"/>
  <c r="J20" i="3" s="1"/>
  <c r="S16" i="8"/>
  <c r="S23" i="8" s="1"/>
  <c r="N20" i="3" s="1"/>
  <c r="U16" i="8"/>
  <c r="U23" i="8" s="1"/>
  <c r="P20" i="3" s="1"/>
  <c r="L16" i="8"/>
  <c r="L23" i="8" s="1"/>
  <c r="G20" i="3" s="1"/>
  <c r="P16" i="8"/>
  <c r="P23" i="8" s="1"/>
  <c r="K20" i="3" s="1"/>
  <c r="T16" i="8"/>
  <c r="T23" i="8" s="1"/>
  <c r="O20" i="3" s="1"/>
  <c r="A32" i="8"/>
  <c r="B32" i="8" s="1"/>
  <c r="M16" i="8"/>
  <c r="M23" i="8" s="1"/>
  <c r="H20" i="3" s="1"/>
  <c r="L132" i="1"/>
  <c r="Z95" i="6"/>
  <c r="Z97" i="6" s="1"/>
  <c r="G82" i="6"/>
  <c r="H78" i="6" s="1"/>
  <c r="H82" i="6" s="1"/>
  <c r="I78" i="6" s="1"/>
  <c r="X96" i="6"/>
  <c r="AO95" i="6"/>
  <c r="AO97" i="6" s="1"/>
  <c r="L133" i="1"/>
  <c r="F132" i="1"/>
  <c r="I132" i="1"/>
  <c r="O132" i="1"/>
  <c r="R132" i="1"/>
  <c r="I133" i="1"/>
  <c r="R133" i="1"/>
  <c r="F133" i="1"/>
  <c r="O133" i="1"/>
  <c r="BO29" i="11"/>
  <c r="G96" i="6"/>
  <c r="BD96" i="6"/>
  <c r="BT80" i="6"/>
  <c r="H29" i="4"/>
  <c r="H31" i="4" s="1"/>
  <c r="BI27" i="11"/>
  <c r="BB43" i="11"/>
  <c r="J53" i="6"/>
  <c r="BN50" i="13"/>
  <c r="AG96" i="6"/>
  <c r="AS96" i="6" s="1"/>
  <c r="AK96" i="6"/>
  <c r="AT96" i="6"/>
  <c r="BF96" i="6" s="1"/>
  <c r="AX96" i="6"/>
  <c r="BB96" i="6"/>
  <c r="I35" i="11"/>
  <c r="H49" i="11"/>
  <c r="CD10" i="14"/>
  <c r="D2" i="15"/>
  <c r="AJ49" i="11"/>
  <c r="R50" i="13"/>
  <c r="BS74" i="13"/>
  <c r="D3" i="15"/>
  <c r="D9" i="17"/>
  <c r="B9" i="17"/>
  <c r="T54" i="3"/>
  <c r="F39" i="2"/>
  <c r="G39" i="2" s="1"/>
  <c r="AN15" i="11"/>
  <c r="AO16" i="11"/>
  <c r="AP16" i="11" s="1"/>
  <c r="AQ16" i="11" s="1"/>
  <c r="AR16" i="11" s="1"/>
  <c r="AS16" i="11" s="1"/>
  <c r="AS15" i="11" s="1"/>
  <c r="AE46" i="3"/>
  <c r="I70" i="1" s="1"/>
  <c r="AR46" i="3"/>
  <c r="L70" i="1" s="1"/>
  <c r="BE46" i="3"/>
  <c r="O70" i="1" s="1"/>
  <c r="R73" i="7"/>
  <c r="X55" i="7"/>
  <c r="BF9" i="11"/>
  <c r="AI23" i="11"/>
  <c r="H23" i="11"/>
  <c r="BH23" i="11"/>
  <c r="AJ23" i="11"/>
  <c r="R48" i="3"/>
  <c r="F72" i="1" s="1"/>
  <c r="AE48" i="3"/>
  <c r="I72" i="1" s="1"/>
  <c r="AR48" i="3"/>
  <c r="L72" i="1" s="1"/>
  <c r="BE48" i="3"/>
  <c r="O72" i="1" s="1"/>
  <c r="AE50" i="3"/>
  <c r="I74" i="1" s="1"/>
  <c r="AR50" i="3"/>
  <c r="L74" i="1" s="1"/>
  <c r="BE50" i="3"/>
  <c r="O74" i="1" s="1"/>
  <c r="R51" i="3"/>
  <c r="F75" i="1" s="1"/>
  <c r="AE51" i="3"/>
  <c r="I75" i="1" s="1"/>
  <c r="AR51" i="3"/>
  <c r="L75" i="1" s="1"/>
  <c r="BE51" i="3"/>
  <c r="O75" i="1" s="1"/>
  <c r="BR51" i="3"/>
  <c r="R75" i="1" s="1"/>
  <c r="R56" i="3"/>
  <c r="F80" i="1" s="1"/>
  <c r="AR56" i="3"/>
  <c r="L80" i="1" s="1"/>
  <c r="BE56" i="3"/>
  <c r="O80" i="1" s="1"/>
  <c r="BR56" i="3"/>
  <c r="R80" i="1" s="1"/>
  <c r="R57" i="3"/>
  <c r="F81" i="1" s="1"/>
  <c r="AE57" i="3"/>
  <c r="I81" i="1" s="1"/>
  <c r="AR57" i="3"/>
  <c r="L81" i="1" s="1"/>
  <c r="BR57" i="3"/>
  <c r="R81" i="1" s="1"/>
  <c r="R58" i="3"/>
  <c r="F82" i="1" s="1"/>
  <c r="AR58" i="3"/>
  <c r="L82" i="1" s="1"/>
  <c r="BE58" i="3"/>
  <c r="O82" i="1" s="1"/>
  <c r="BR58" i="3"/>
  <c r="R82" i="1" s="1"/>
  <c r="AP9" i="11"/>
  <c r="L9" i="11"/>
  <c r="AK9" i="11"/>
  <c r="H9" i="11"/>
  <c r="BA9" i="11"/>
  <c r="Z9" i="11"/>
  <c r="AU9" i="11"/>
  <c r="U9" i="11"/>
  <c r="O22" i="11"/>
  <c r="P22" i="11" s="1"/>
  <c r="Q22" i="11" s="1"/>
  <c r="R22" i="11" s="1"/>
  <c r="S22" i="11" s="1"/>
  <c r="S21" i="11" s="1"/>
  <c r="N21" i="11"/>
  <c r="BM26" i="11"/>
  <c r="BN26" i="11" s="1"/>
  <c r="BO26" i="11" s="1"/>
  <c r="BP26" i="11" s="1"/>
  <c r="BQ26" i="11" s="1"/>
  <c r="BR26" i="11" s="1"/>
  <c r="BS26" i="11" s="1"/>
  <c r="BS25" i="11" s="1"/>
  <c r="BL25" i="11"/>
  <c r="AJ13" i="11"/>
  <c r="L70" i="16"/>
  <c r="U70" i="16"/>
  <c r="AA70" i="16" s="1"/>
  <c r="K70" i="16"/>
  <c r="AF54" i="6"/>
  <c r="AS54" i="6"/>
  <c r="BF54" i="6"/>
  <c r="AN96" i="6"/>
  <c r="BJ96" i="6"/>
  <c r="BN96" i="6"/>
  <c r="BR96" i="6"/>
  <c r="S72" i="6"/>
  <c r="AF72" i="6"/>
  <c r="G89" i="6"/>
  <c r="Q74" i="7"/>
  <c r="AW15" i="11"/>
  <c r="BJ21" i="11"/>
  <c r="AN25" i="11"/>
  <c r="BI35" i="11"/>
  <c r="BN37" i="11"/>
  <c r="J37" i="11"/>
  <c r="BC49" i="13"/>
  <c r="BR50" i="13"/>
  <c r="AR50" i="13"/>
  <c r="AA50" i="13"/>
  <c r="J50" i="13"/>
  <c r="BL64" i="13"/>
  <c r="L65" i="16"/>
  <c r="K65" i="16"/>
  <c r="U65" i="16"/>
  <c r="AA65" i="16" s="1"/>
  <c r="AV25" i="11"/>
  <c r="AR51" i="13"/>
  <c r="AH66" i="11"/>
  <c r="BL15" i="11"/>
  <c r="H25" i="11"/>
  <c r="AW25" i="11"/>
  <c r="P44" i="13"/>
  <c r="AJ50" i="13"/>
  <c r="AA55" i="13"/>
  <c r="D5" i="15"/>
  <c r="O57" i="16"/>
  <c r="P57" i="16" s="1"/>
  <c r="AV49" i="11"/>
  <c r="BR47" i="13"/>
  <c r="O50" i="13"/>
  <c r="AF50" i="13"/>
  <c r="AX50" i="13"/>
  <c r="AN55" i="13"/>
  <c r="AN57" i="13"/>
  <c r="BS71" i="13"/>
  <c r="BS76" i="13"/>
  <c r="K10" i="14"/>
  <c r="D6" i="15"/>
  <c r="O45" i="16"/>
  <c r="P45" i="16" s="1"/>
  <c r="O49" i="16"/>
  <c r="P49" i="16" s="1"/>
  <c r="K57" i="16"/>
  <c r="F87" i="16"/>
  <c r="C78" i="16"/>
  <c r="C79" i="16" s="1"/>
  <c r="U57" i="16"/>
  <c r="AA57" i="16" s="1"/>
  <c r="O65" i="16"/>
  <c r="P65" i="16" s="1"/>
  <c r="O67" i="16"/>
  <c r="P67" i="16" s="1"/>
  <c r="O69" i="16"/>
  <c r="P69" i="16" s="1"/>
  <c r="E9" i="17"/>
  <c r="I49" i="11"/>
  <c r="AN55" i="11"/>
  <c r="X50" i="13"/>
  <c r="AO50" i="13"/>
  <c r="W55" i="13"/>
  <c r="BP99" i="13"/>
  <c r="BE62" i="3"/>
  <c r="O86" i="1" s="1"/>
  <c r="AI7" i="11"/>
  <c r="AU7" i="11"/>
  <c r="H41" i="11"/>
  <c r="BH41" i="11"/>
  <c r="P41" i="11"/>
  <c r="L41" i="11"/>
  <c r="AO27" i="11"/>
  <c r="AU29" i="11"/>
  <c r="N11" i="11"/>
  <c r="BJ11" i="11"/>
  <c r="H13" i="11"/>
  <c r="BM15" i="11"/>
  <c r="I27" i="11"/>
  <c r="AW27" i="11"/>
  <c r="AA29" i="11"/>
  <c r="AK43" i="11"/>
  <c r="BH13" i="11"/>
  <c r="V11" i="11"/>
  <c r="AI13" i="11"/>
  <c r="H15" i="11"/>
  <c r="AV15" i="11"/>
  <c r="Q27" i="11"/>
  <c r="BE27" i="11"/>
  <c r="AE29" i="11"/>
  <c r="I15" i="11"/>
  <c r="Y27" i="11"/>
  <c r="BN27" i="11"/>
  <c r="AQ29" i="11"/>
  <c r="I51" i="11"/>
  <c r="BM51" i="11"/>
  <c r="Y51" i="11"/>
  <c r="AW51" i="11"/>
  <c r="AO51" i="11"/>
  <c r="BE51" i="11"/>
  <c r="BI57" i="11"/>
  <c r="U57" i="11"/>
  <c r="AC57" i="11"/>
  <c r="AS57" i="11"/>
  <c r="H55" i="11"/>
  <c r="AV55" i="11"/>
  <c r="P55" i="11"/>
  <c r="BD55" i="11"/>
  <c r="X55" i="11"/>
  <c r="AF55" i="11"/>
  <c r="BR53" i="11"/>
  <c r="BN53" i="11"/>
  <c r="AH53" i="11"/>
  <c r="J53" i="11"/>
  <c r="BF53" i="11"/>
  <c r="BT57" i="6"/>
  <c r="BF79" i="6"/>
  <c r="S88" i="6"/>
  <c r="BS54" i="6"/>
  <c r="BT56" i="6"/>
  <c r="AS65" i="6"/>
  <c r="BF65" i="6"/>
  <c r="BS65" i="6"/>
  <c r="S73" i="6"/>
  <c r="AS79" i="6"/>
  <c r="AF89" i="6"/>
  <c r="AS89" i="6"/>
  <c r="BS89" i="6"/>
  <c r="AP53" i="6"/>
  <c r="U96" i="6"/>
  <c r="Y95" i="6"/>
  <c r="Y97" i="6" s="1"/>
  <c r="AC95" i="6"/>
  <c r="AH96" i="6"/>
  <c r="AL96" i="6"/>
  <c r="AP96" i="6"/>
  <c r="BT73" i="6"/>
  <c r="S74" i="6"/>
  <c r="BT74" i="6" s="1"/>
  <c r="BT58" i="6"/>
  <c r="V96" i="6"/>
  <c r="Z96" i="6"/>
  <c r="AD96" i="6"/>
  <c r="U95" i="6"/>
  <c r="AC96" i="6"/>
  <c r="S81" i="6"/>
  <c r="BT81" i="6" s="1"/>
  <c r="AP95" i="6"/>
  <c r="K53" i="6"/>
  <c r="O53" i="6"/>
  <c r="H53" i="6"/>
  <c r="L53" i="6"/>
  <c r="N53" i="6"/>
  <c r="AD53" i="6"/>
  <c r="R53" i="6"/>
  <c r="AH53" i="6"/>
  <c r="V53" i="6"/>
  <c r="AL53" i="6"/>
  <c r="F39" i="1"/>
  <c r="S40" i="2"/>
  <c r="T40" i="2" s="1"/>
  <c r="U40" i="2" s="1"/>
  <c r="V40" i="2" s="1"/>
  <c r="W40" i="2" s="1"/>
  <c r="X40" i="2" s="1"/>
  <c r="Y40" i="2" s="1"/>
  <c r="Z40" i="2" s="1"/>
  <c r="AA40" i="2" s="1"/>
  <c r="AB40" i="2" s="1"/>
  <c r="AC40" i="2" s="1"/>
  <c r="AD40" i="2" s="1"/>
  <c r="U53" i="6"/>
  <c r="Y53" i="6"/>
  <c r="AC53" i="6"/>
  <c r="AG53" i="6"/>
  <c r="AK53" i="6"/>
  <c r="AO53" i="6"/>
  <c r="AW53" i="6"/>
  <c r="BA53" i="6"/>
  <c r="BE53" i="6"/>
  <c r="BG96" i="6"/>
  <c r="BS96" i="6" s="1"/>
  <c r="BG95" i="6"/>
  <c r="BK96" i="6"/>
  <c r="BK95" i="6"/>
  <c r="BO95" i="6"/>
  <c r="BO96" i="6"/>
  <c r="BS66" i="6"/>
  <c r="S89" i="6"/>
  <c r="BR46" i="3"/>
  <c r="R70" i="1" s="1"/>
  <c r="BR50" i="3"/>
  <c r="R74" i="1" s="1"/>
  <c r="AE56" i="3"/>
  <c r="I80" i="1" s="1"/>
  <c r="I53" i="6"/>
  <c r="M53" i="6"/>
  <c r="Q53" i="6"/>
  <c r="AU96" i="6"/>
  <c r="AU95" i="6"/>
  <c r="AY95" i="6"/>
  <c r="AY96" i="6"/>
  <c r="BC96" i="6"/>
  <c r="BC95" i="6"/>
  <c r="BI96" i="6"/>
  <c r="BQ95" i="6"/>
  <c r="AF10" i="11"/>
  <c r="AF9" i="11" s="1"/>
  <c r="AE9" i="11"/>
  <c r="R46" i="3"/>
  <c r="R50" i="3"/>
  <c r="BE52" i="3"/>
  <c r="O76" i="1" s="1"/>
  <c r="AE58" i="3"/>
  <c r="I82" i="1" s="1"/>
  <c r="S45" i="6"/>
  <c r="BT8" i="6"/>
  <c r="BT45" i="6" s="1"/>
  <c r="AI95" i="6"/>
  <c r="AI96" i="6"/>
  <c r="AM96" i="6"/>
  <c r="AM95" i="6"/>
  <c r="AQ96" i="6"/>
  <c r="AQ95" i="6"/>
  <c r="BI95" i="6"/>
  <c r="BM96" i="6"/>
  <c r="BQ96" i="6"/>
  <c r="AK95" i="6"/>
  <c r="BA95" i="6"/>
  <c r="S79" i="6"/>
  <c r="AF79" i="6"/>
  <c r="T49" i="3"/>
  <c r="BR48" i="3"/>
  <c r="R72" i="1" s="1"/>
  <c r="R52" i="3"/>
  <c r="T53" i="3"/>
  <c r="BE57" i="3"/>
  <c r="O81" i="1" s="1"/>
  <c r="BI53" i="6"/>
  <c r="BM53" i="6"/>
  <c r="BQ53" i="6"/>
  <c r="S54" i="6"/>
  <c r="S65" i="6"/>
  <c r="AF65" i="6"/>
  <c r="W96" i="6"/>
  <c r="W95" i="6"/>
  <c r="AA96" i="6"/>
  <c r="AA95" i="6"/>
  <c r="AE96" i="6"/>
  <c r="AE95" i="6"/>
  <c r="AW96" i="6"/>
  <c r="BA96" i="6"/>
  <c r="BE95" i="6"/>
  <c r="AS72" i="6"/>
  <c r="BF72" i="6"/>
  <c r="BS72" i="6"/>
  <c r="BS79" i="6"/>
  <c r="P9" i="11"/>
  <c r="X54" i="7"/>
  <c r="X17" i="7"/>
  <c r="N73" i="7"/>
  <c r="V73" i="7"/>
  <c r="X7" i="11"/>
  <c r="AN13" i="11"/>
  <c r="AO14" i="11"/>
  <c r="AP14" i="11" s="1"/>
  <c r="AQ14" i="11" s="1"/>
  <c r="BM14" i="11"/>
  <c r="BN14" i="11" s="1"/>
  <c r="BO14" i="11" s="1"/>
  <c r="BL13" i="11"/>
  <c r="BE16" i="11"/>
  <c r="BD15" i="11"/>
  <c r="Y24" i="11"/>
  <c r="Z24" i="11" s="1"/>
  <c r="AA24" i="11" s="1"/>
  <c r="X23" i="11"/>
  <c r="Q26" i="11"/>
  <c r="P25" i="11"/>
  <c r="K29" i="11"/>
  <c r="BQ42" i="11"/>
  <c r="BR42" i="11" s="1"/>
  <c r="BS42" i="11" s="1"/>
  <c r="BS41" i="11" s="1"/>
  <c r="BP41" i="11"/>
  <c r="G53" i="6"/>
  <c r="AI53" i="6"/>
  <c r="AM53" i="6"/>
  <c r="AQ53" i="6"/>
  <c r="AU53" i="6"/>
  <c r="AY53" i="6"/>
  <c r="BC53" i="6"/>
  <c r="BG53" i="6"/>
  <c r="BK53" i="6"/>
  <c r="BO53" i="6"/>
  <c r="T95" i="6"/>
  <c r="X95" i="6"/>
  <c r="AB95" i="6"/>
  <c r="AF66" i="6"/>
  <c r="AJ95" i="6"/>
  <c r="AN95" i="6"/>
  <c r="AR95" i="6"/>
  <c r="AV95" i="6"/>
  <c r="AZ95" i="6"/>
  <c r="BD95" i="6"/>
  <c r="BH95" i="6"/>
  <c r="BL95" i="6"/>
  <c r="BP95" i="6"/>
  <c r="BF67" i="6"/>
  <c r="BT67" i="6" s="1"/>
  <c r="BF89" i="6"/>
  <c r="V95" i="6"/>
  <c r="AG95" i="6"/>
  <c r="AL95" i="6"/>
  <c r="AW95" i="6"/>
  <c r="BB95" i="6"/>
  <c r="BM95" i="6"/>
  <c r="BR95" i="6"/>
  <c r="T96" i="6"/>
  <c r="AF96" i="6" s="1"/>
  <c r="Y96" i="6"/>
  <c r="AJ96" i="6"/>
  <c r="AO96" i="6"/>
  <c r="AZ96" i="6"/>
  <c r="BE96" i="6"/>
  <c r="BP96" i="6"/>
  <c r="M53" i="7"/>
  <c r="M73" i="7"/>
  <c r="Q53" i="7"/>
  <c r="Q73" i="7"/>
  <c r="U53" i="7"/>
  <c r="U73" i="7"/>
  <c r="R74" i="7"/>
  <c r="BJ7" i="11"/>
  <c r="AH7" i="11"/>
  <c r="V7" i="11"/>
  <c r="J7" i="11"/>
  <c r="BI7" i="11"/>
  <c r="AW7" i="11"/>
  <c r="I7" i="11"/>
  <c r="BH7" i="11"/>
  <c r="AV7" i="11"/>
  <c r="AJ7" i="11"/>
  <c r="H7" i="11"/>
  <c r="W7" i="11"/>
  <c r="AK8" i="11"/>
  <c r="AV13" i="11"/>
  <c r="AW14" i="11"/>
  <c r="AX14" i="11" s="1"/>
  <c r="AY14" i="11" s="1"/>
  <c r="X15" i="11"/>
  <c r="Y16" i="11"/>
  <c r="V21" i="11"/>
  <c r="BB21" i="11"/>
  <c r="AN23" i="11"/>
  <c r="AO24" i="11"/>
  <c r="AP24" i="11" s="1"/>
  <c r="AQ24" i="11" s="1"/>
  <c r="BE26" i="11"/>
  <c r="BD25" i="11"/>
  <c r="AP37" i="11"/>
  <c r="AQ38" i="11"/>
  <c r="AR38" i="11" s="1"/>
  <c r="AS38" i="11" s="1"/>
  <c r="AS37" i="11" s="1"/>
  <c r="AV41" i="11"/>
  <c r="Y42" i="11"/>
  <c r="Z42" i="11" s="1"/>
  <c r="AA42" i="11" s="1"/>
  <c r="AB42" i="11" s="1"/>
  <c r="X41" i="11"/>
  <c r="BP43" i="11"/>
  <c r="BL43" i="11"/>
  <c r="BH43" i="11"/>
  <c r="BD43" i="11"/>
  <c r="AZ43" i="11"/>
  <c r="BQ43" i="11"/>
  <c r="BK43" i="11"/>
  <c r="BF43" i="11"/>
  <c r="BA43" i="11"/>
  <c r="AV43" i="11"/>
  <c r="AR43" i="11"/>
  <c r="AN43" i="11"/>
  <c r="AJ43" i="11"/>
  <c r="AF43" i="11"/>
  <c r="AB43" i="11"/>
  <c r="X43" i="11"/>
  <c r="P43" i="11"/>
  <c r="L43" i="11"/>
  <c r="H43" i="11"/>
  <c r="BO43" i="11"/>
  <c r="BJ43" i="11"/>
  <c r="BE43" i="11"/>
  <c r="AY43" i="11"/>
  <c r="AU43" i="11"/>
  <c r="AQ43" i="11"/>
  <c r="AM43" i="11"/>
  <c r="AI43" i="11"/>
  <c r="AE43" i="11"/>
  <c r="AA43" i="11"/>
  <c r="W43" i="11"/>
  <c r="S43" i="11"/>
  <c r="O43" i="11"/>
  <c r="K43" i="11"/>
  <c r="BS43" i="11"/>
  <c r="BN43" i="11"/>
  <c r="BI43" i="11"/>
  <c r="BC43" i="11"/>
  <c r="AX43" i="11"/>
  <c r="AP43" i="11"/>
  <c r="AL43" i="11"/>
  <c r="AH43" i="11"/>
  <c r="AD43" i="11"/>
  <c r="Z43" i="11"/>
  <c r="V43" i="11"/>
  <c r="R43" i="11"/>
  <c r="N43" i="11"/>
  <c r="J43" i="11"/>
  <c r="BR43" i="11"/>
  <c r="AW43" i="11"/>
  <c r="Q43" i="11"/>
  <c r="BM43" i="11"/>
  <c r="AS43" i="11"/>
  <c r="AC43" i="11"/>
  <c r="M43" i="11"/>
  <c r="AO43" i="11"/>
  <c r="Y43" i="11"/>
  <c r="I43" i="11"/>
  <c r="P53" i="6"/>
  <c r="T53" i="6"/>
  <c r="AJ53" i="6"/>
  <c r="AV53" i="6"/>
  <c r="AZ53" i="6"/>
  <c r="BL53" i="6"/>
  <c r="BP53" i="6"/>
  <c r="H95" i="6"/>
  <c r="AS66" i="6"/>
  <c r="G75" i="6"/>
  <c r="H71" i="6" s="1"/>
  <c r="G95" i="6"/>
  <c r="AH95" i="6"/>
  <c r="AX95" i="6"/>
  <c r="BN95" i="6"/>
  <c r="AV96" i="6"/>
  <c r="BL96" i="6"/>
  <c r="O52" i="7"/>
  <c r="O74" i="7"/>
  <c r="S52" i="7"/>
  <c r="S74" i="7"/>
  <c r="W52" i="7"/>
  <c r="W74" i="7"/>
  <c r="X18" i="7"/>
  <c r="X19" i="7"/>
  <c r="X57" i="7"/>
  <c r="X20" i="7"/>
  <c r="M74" i="7"/>
  <c r="U74" i="7"/>
  <c r="AK52" i="7"/>
  <c r="AX8" i="11"/>
  <c r="AX7" i="11" s="1"/>
  <c r="BQ11" i="11"/>
  <c r="BM11" i="11"/>
  <c r="BI11" i="11"/>
  <c r="AW11" i="11"/>
  <c r="U11" i="11"/>
  <c r="Q11" i="11"/>
  <c r="M11" i="11"/>
  <c r="I11" i="11"/>
  <c r="BP11" i="11"/>
  <c r="BL11" i="11"/>
  <c r="BH11" i="11"/>
  <c r="AV11" i="11"/>
  <c r="P11" i="11"/>
  <c r="L11" i="11"/>
  <c r="H11" i="11"/>
  <c r="BO11" i="11"/>
  <c r="AI11" i="11"/>
  <c r="S11" i="11"/>
  <c r="K11" i="11"/>
  <c r="BN11" i="11"/>
  <c r="AH11" i="11"/>
  <c r="R11" i="11"/>
  <c r="J11" i="11"/>
  <c r="BS11" i="11"/>
  <c r="BK11" i="11"/>
  <c r="AU11" i="11"/>
  <c r="W11" i="11"/>
  <c r="O11" i="11"/>
  <c r="BR11" i="11"/>
  <c r="BP15" i="11"/>
  <c r="AD21" i="11"/>
  <c r="AV23" i="11"/>
  <c r="AW24" i="11"/>
  <c r="AX24" i="11" s="1"/>
  <c r="AY24" i="11" s="1"/>
  <c r="AO25" i="11"/>
  <c r="X25" i="11"/>
  <c r="Y26" i="11"/>
  <c r="BK29" i="11"/>
  <c r="M35" i="11"/>
  <c r="N37" i="11"/>
  <c r="AA38" i="11"/>
  <c r="AB38" i="11" s="1"/>
  <c r="AC38" i="11" s="1"/>
  <c r="AD38" i="11" s="1"/>
  <c r="Z37" i="11"/>
  <c r="AK42" i="11"/>
  <c r="AL42" i="11" s="1"/>
  <c r="AM42" i="11" s="1"/>
  <c r="AN42" i="11" s="1"/>
  <c r="AJ41" i="11"/>
  <c r="U43" i="11"/>
  <c r="BF66" i="6"/>
  <c r="I95" i="6"/>
  <c r="AD95" i="6"/>
  <c r="AT95" i="6"/>
  <c r="BJ95" i="6"/>
  <c r="AB96" i="6"/>
  <c r="AR96" i="6"/>
  <c r="BH96" i="6"/>
  <c r="P74" i="7"/>
  <c r="P73" i="7"/>
  <c r="T74" i="7"/>
  <c r="T73" i="7"/>
  <c r="X15" i="7"/>
  <c r="X58" i="7"/>
  <c r="X21" i="7"/>
  <c r="N74" i="7"/>
  <c r="V74" i="7"/>
  <c r="L12" i="1"/>
  <c r="P52" i="7"/>
  <c r="B118" i="10"/>
  <c r="I29" i="4"/>
  <c r="K8" i="11"/>
  <c r="BK8" i="11"/>
  <c r="K13" i="11"/>
  <c r="Y14" i="11"/>
  <c r="Z14" i="11" s="1"/>
  <c r="AA14" i="11" s="1"/>
  <c r="X13" i="11"/>
  <c r="P15" i="11"/>
  <c r="BQ21" i="11"/>
  <c r="BM21" i="11"/>
  <c r="BI21" i="11"/>
  <c r="BE21" i="11"/>
  <c r="BA21" i="11"/>
  <c r="AW21" i="11"/>
  <c r="AS21" i="11"/>
  <c r="AO21" i="11"/>
  <c r="AK21" i="11"/>
  <c r="AC21" i="11"/>
  <c r="Y21" i="11"/>
  <c r="U21" i="11"/>
  <c r="Q21" i="11"/>
  <c r="M21" i="11"/>
  <c r="I21" i="11"/>
  <c r="BP21" i="11"/>
  <c r="BL21" i="11"/>
  <c r="BH21" i="11"/>
  <c r="BD21" i="11"/>
  <c r="AZ21" i="11"/>
  <c r="AV21" i="11"/>
  <c r="AR21" i="11"/>
  <c r="AN21" i="11"/>
  <c r="AJ21" i="11"/>
  <c r="AF21" i="11"/>
  <c r="AB21" i="11"/>
  <c r="X21" i="11"/>
  <c r="L21" i="11"/>
  <c r="H21" i="11"/>
  <c r="BO21" i="11"/>
  <c r="AY21" i="11"/>
  <c r="AQ21" i="11"/>
  <c r="AI21" i="11"/>
  <c r="AA21" i="11"/>
  <c r="K21" i="11"/>
  <c r="BN21" i="11"/>
  <c r="BF21" i="11"/>
  <c r="AX21" i="11"/>
  <c r="AP21" i="11"/>
  <c r="AH21" i="11"/>
  <c r="Z21" i="11"/>
  <c r="J21" i="11"/>
  <c r="BS21" i="11"/>
  <c r="BK21" i="11"/>
  <c r="BC21" i="11"/>
  <c r="AU21" i="11"/>
  <c r="AM21" i="11"/>
  <c r="AE21" i="11"/>
  <c r="W21" i="11"/>
  <c r="AL21" i="11"/>
  <c r="BR21" i="11"/>
  <c r="BL41" i="11"/>
  <c r="BA42" i="11"/>
  <c r="BB42" i="11" s="1"/>
  <c r="BC42" i="11" s="1"/>
  <c r="BD42" i="11" s="1"/>
  <c r="AZ41" i="11"/>
  <c r="Z53" i="11"/>
  <c r="BM56" i="11"/>
  <c r="BN56" i="11" s="1"/>
  <c r="BO56" i="11" s="1"/>
  <c r="BP56" i="11" s="1"/>
  <c r="BQ56" i="11" s="1"/>
  <c r="BR56" i="11" s="1"/>
  <c r="BS56" i="11" s="1"/>
  <c r="BS55" i="11" s="1"/>
  <c r="BL55" i="11"/>
  <c r="L56" i="7"/>
  <c r="X56" i="7" s="1"/>
  <c r="I9" i="11"/>
  <c r="M9" i="11"/>
  <c r="Q9" i="11"/>
  <c r="V9" i="11"/>
  <c r="AA9" i="11"/>
  <c r="AL9" i="11"/>
  <c r="AQ9" i="11"/>
  <c r="AW9" i="11"/>
  <c r="BB9" i="11"/>
  <c r="BJ13" i="11"/>
  <c r="AL13" i="11"/>
  <c r="AH13" i="11"/>
  <c r="V13" i="11"/>
  <c r="J13" i="11"/>
  <c r="BI13" i="11"/>
  <c r="AK13" i="11"/>
  <c r="U13" i="11"/>
  <c r="I13" i="11"/>
  <c r="W13" i="11"/>
  <c r="AM13" i="11"/>
  <c r="AU13" i="11"/>
  <c r="BK13" i="11"/>
  <c r="L15" i="11"/>
  <c r="AJ15" i="11"/>
  <c r="AZ15" i="11"/>
  <c r="BH15" i="11"/>
  <c r="BJ23" i="11"/>
  <c r="AL23" i="11"/>
  <c r="AH23" i="11"/>
  <c r="V23" i="11"/>
  <c r="BI23" i="11"/>
  <c r="AW23" i="11"/>
  <c r="AK23" i="11"/>
  <c r="U23" i="11"/>
  <c r="I23" i="11"/>
  <c r="W23" i="11"/>
  <c r="AM23" i="11"/>
  <c r="AU23" i="11"/>
  <c r="L25" i="11"/>
  <c r="AJ25" i="11"/>
  <c r="AR25" i="11"/>
  <c r="AZ25" i="11"/>
  <c r="BH25" i="11"/>
  <c r="J27" i="11"/>
  <c r="R27" i="11"/>
  <c r="Z27" i="11"/>
  <c r="AH27" i="11"/>
  <c r="AP27" i="11"/>
  <c r="AX27" i="11"/>
  <c r="BF27" i="11"/>
  <c r="BR27" i="11"/>
  <c r="AI29" i="11"/>
  <c r="AY29" i="11"/>
  <c r="BH35" i="11"/>
  <c r="AV35" i="11"/>
  <c r="L35" i="11"/>
  <c r="H35" i="11"/>
  <c r="AU35" i="11"/>
  <c r="AI35" i="11"/>
  <c r="O35" i="11"/>
  <c r="K35" i="11"/>
  <c r="BJ35" i="11"/>
  <c r="AH35" i="11"/>
  <c r="V35" i="11"/>
  <c r="J35" i="11"/>
  <c r="U35" i="11"/>
  <c r="R37" i="11"/>
  <c r="AH37" i="11"/>
  <c r="AX37" i="11"/>
  <c r="AU39" i="11"/>
  <c r="AX53" i="11"/>
  <c r="X16" i="7"/>
  <c r="I12" i="1"/>
  <c r="U66" i="11"/>
  <c r="AU66" i="11"/>
  <c r="BH66" i="11"/>
  <c r="J9" i="11"/>
  <c r="N9" i="11"/>
  <c r="R9" i="11"/>
  <c r="W9" i="11"/>
  <c r="AC9" i="11"/>
  <c r="AH9" i="11"/>
  <c r="AM9" i="11"/>
  <c r="AS9" i="11"/>
  <c r="AX9" i="11"/>
  <c r="BC9" i="11"/>
  <c r="BI9" i="11"/>
  <c r="BS15" i="11"/>
  <c r="BO15" i="11"/>
  <c r="BK15" i="11"/>
  <c r="BC15" i="11"/>
  <c r="AY15" i="11"/>
  <c r="AU15" i="11"/>
  <c r="AM15" i="11"/>
  <c r="AI15" i="11"/>
  <c r="W15" i="11"/>
  <c r="O15" i="11"/>
  <c r="K15" i="11"/>
  <c r="BR15" i="11"/>
  <c r="BN15" i="11"/>
  <c r="BJ15" i="11"/>
  <c r="BB15" i="11"/>
  <c r="AX15" i="11"/>
  <c r="AL15" i="11"/>
  <c r="AH15" i="11"/>
  <c r="V15" i="11"/>
  <c r="N15" i="11"/>
  <c r="J15" i="11"/>
  <c r="M15" i="11"/>
  <c r="U15" i="11"/>
  <c r="AK15" i="11"/>
  <c r="BA15" i="11"/>
  <c r="BI15" i="11"/>
  <c r="BQ15" i="11"/>
  <c r="BK25" i="11"/>
  <c r="BC25" i="11"/>
  <c r="AY25" i="11"/>
  <c r="AU25" i="11"/>
  <c r="AQ25" i="11"/>
  <c r="AM25" i="11"/>
  <c r="AI25" i="11"/>
  <c r="W25" i="11"/>
  <c r="O25" i="11"/>
  <c r="K25" i="11"/>
  <c r="BJ25" i="11"/>
  <c r="BB25" i="11"/>
  <c r="AX25" i="11"/>
  <c r="AP25" i="11"/>
  <c r="AL25" i="11"/>
  <c r="AH25" i="11"/>
  <c r="V25" i="11"/>
  <c r="N25" i="11"/>
  <c r="J25" i="11"/>
  <c r="M25" i="11"/>
  <c r="U25" i="11"/>
  <c r="AK25" i="11"/>
  <c r="AS25" i="11"/>
  <c r="BA25" i="11"/>
  <c r="BI25" i="11"/>
  <c r="M27" i="11"/>
  <c r="U27" i="11"/>
  <c r="AC27" i="11"/>
  <c r="AK27" i="11"/>
  <c r="AS27" i="11"/>
  <c r="BA27" i="11"/>
  <c r="BR29" i="11"/>
  <c r="BN29" i="11"/>
  <c r="BJ29" i="11"/>
  <c r="BF29" i="11"/>
  <c r="BB29" i="11"/>
  <c r="AX29" i="11"/>
  <c r="AP29" i="11"/>
  <c r="AL29" i="11"/>
  <c r="AH29" i="11"/>
  <c r="AD29" i="11"/>
  <c r="Z29" i="11"/>
  <c r="V29" i="11"/>
  <c r="N29" i="11"/>
  <c r="J29" i="11"/>
  <c r="BQ29" i="11"/>
  <c r="BM29" i="11"/>
  <c r="BI29" i="11"/>
  <c r="BE29" i="11"/>
  <c r="BA29" i="11"/>
  <c r="AW29" i="11"/>
  <c r="AS29" i="11"/>
  <c r="AO29" i="11"/>
  <c r="AK29" i="11"/>
  <c r="AC29" i="11"/>
  <c r="Y29" i="11"/>
  <c r="U29" i="11"/>
  <c r="M29" i="11"/>
  <c r="I29" i="11"/>
  <c r="BP29" i="11"/>
  <c r="BL29" i="11"/>
  <c r="BH29" i="11"/>
  <c r="BD29" i="11"/>
  <c r="AZ29" i="11"/>
  <c r="AV29" i="11"/>
  <c r="AR29" i="11"/>
  <c r="AN29" i="11"/>
  <c r="AJ29" i="11"/>
  <c r="AF29" i="11"/>
  <c r="AB29" i="11"/>
  <c r="X29" i="11"/>
  <c r="L29" i="11"/>
  <c r="H29" i="11"/>
  <c r="W29" i="11"/>
  <c r="AM29" i="11"/>
  <c r="BC29" i="11"/>
  <c r="BS29" i="11"/>
  <c r="BQ37" i="11"/>
  <c r="BM37" i="11"/>
  <c r="BI37" i="11"/>
  <c r="BE37" i="11"/>
  <c r="BA37" i="11"/>
  <c r="AW37" i="11"/>
  <c r="AO37" i="11"/>
  <c r="AK37" i="11"/>
  <c r="Y37" i="11"/>
  <c r="U37" i="11"/>
  <c r="Q37" i="11"/>
  <c r="M37" i="11"/>
  <c r="I37" i="11"/>
  <c r="BP37" i="11"/>
  <c r="BL37" i="11"/>
  <c r="BH37" i="11"/>
  <c r="BD37" i="11"/>
  <c r="AZ37" i="11"/>
  <c r="AV37" i="11"/>
  <c r="AN37" i="11"/>
  <c r="AJ37" i="11"/>
  <c r="X37" i="11"/>
  <c r="P37" i="11"/>
  <c r="L37" i="11"/>
  <c r="H37" i="11"/>
  <c r="BS37" i="11"/>
  <c r="BO37" i="11"/>
  <c r="BK37" i="11"/>
  <c r="BC37" i="11"/>
  <c r="AY37" i="11"/>
  <c r="AU37" i="11"/>
  <c r="AM37" i="11"/>
  <c r="AI37" i="11"/>
  <c r="W37" i="11"/>
  <c r="S37" i="11"/>
  <c r="O37" i="11"/>
  <c r="K37" i="11"/>
  <c r="V37" i="11"/>
  <c r="AL37" i="11"/>
  <c r="BB37" i="11"/>
  <c r="BR37" i="11"/>
  <c r="AI39" i="11"/>
  <c r="AY39" i="11"/>
  <c r="BS57" i="11"/>
  <c r="BO57" i="11"/>
  <c r="BK57" i="11"/>
  <c r="BC57" i="11"/>
  <c r="AY57" i="11"/>
  <c r="AU57" i="11"/>
  <c r="AQ57" i="11"/>
  <c r="AM57" i="11"/>
  <c r="AI57" i="11"/>
  <c r="AE57" i="11"/>
  <c r="AA57" i="11"/>
  <c r="W57" i="11"/>
  <c r="BR57" i="11"/>
  <c r="BN57" i="11"/>
  <c r="BJ57" i="11"/>
  <c r="BF57" i="11"/>
  <c r="BB57" i="11"/>
  <c r="AX57" i="11"/>
  <c r="AP57" i="11"/>
  <c r="AL57" i="11"/>
  <c r="AD57" i="11"/>
  <c r="Z57" i="11"/>
  <c r="V57" i="11"/>
  <c r="J57" i="11"/>
  <c r="BP57" i="11"/>
  <c r="BH57" i="11"/>
  <c r="AZ57" i="11"/>
  <c r="AR57" i="11"/>
  <c r="AJ57" i="11"/>
  <c r="AB57" i="11"/>
  <c r="BM57" i="11"/>
  <c r="BE57" i="11"/>
  <c r="AW57" i="11"/>
  <c r="AO57" i="11"/>
  <c r="Y57" i="11"/>
  <c r="I57" i="11"/>
  <c r="BL57" i="11"/>
  <c r="BD57" i="11"/>
  <c r="AV57" i="11"/>
  <c r="AN57" i="11"/>
  <c r="AF57" i="11"/>
  <c r="X57" i="11"/>
  <c r="H57" i="11"/>
  <c r="AK57" i="11"/>
  <c r="BQ57" i="11"/>
  <c r="I66" i="11"/>
  <c r="V66" i="11"/>
  <c r="BH9" i="11"/>
  <c r="BD9" i="11"/>
  <c r="AZ9" i="11"/>
  <c r="AV9" i="11"/>
  <c r="AR9" i="11"/>
  <c r="AN9" i="11"/>
  <c r="AJ9" i="11"/>
  <c r="AB9" i="11"/>
  <c r="X9" i="11"/>
  <c r="K9" i="11"/>
  <c r="O9" i="11"/>
  <c r="S9" i="11"/>
  <c r="Y9" i="11"/>
  <c r="AD9" i="11"/>
  <c r="AI9" i="11"/>
  <c r="AO9" i="11"/>
  <c r="AY9" i="11"/>
  <c r="BE9" i="11"/>
  <c r="BJ9" i="11"/>
  <c r="BQ27" i="11"/>
  <c r="BM27" i="11"/>
  <c r="BP27" i="11"/>
  <c r="BL27" i="11"/>
  <c r="BH27" i="11"/>
  <c r="BD27" i="11"/>
  <c r="AZ27" i="11"/>
  <c r="AV27" i="11"/>
  <c r="AR27" i="11"/>
  <c r="AN27" i="11"/>
  <c r="AJ27" i="11"/>
  <c r="AF27" i="11"/>
  <c r="AB27" i="11"/>
  <c r="X27" i="11"/>
  <c r="P27" i="11"/>
  <c r="L27" i="11"/>
  <c r="H27" i="11"/>
  <c r="BS27" i="11"/>
  <c r="BO27" i="11"/>
  <c r="BK27" i="11"/>
  <c r="BC27" i="11"/>
  <c r="AY27" i="11"/>
  <c r="AU27" i="11"/>
  <c r="AQ27" i="11"/>
  <c r="AM27" i="11"/>
  <c r="AI27" i="11"/>
  <c r="AE27" i="11"/>
  <c r="AA27" i="11"/>
  <c r="W27" i="11"/>
  <c r="S27" i="11"/>
  <c r="O27" i="11"/>
  <c r="K27" i="11"/>
  <c r="N27" i="11"/>
  <c r="V27" i="11"/>
  <c r="AD27" i="11"/>
  <c r="AL27" i="11"/>
  <c r="BB27" i="11"/>
  <c r="BJ27" i="11"/>
  <c r="BR39" i="11"/>
  <c r="BN39" i="11"/>
  <c r="BB39" i="11"/>
  <c r="AX39" i="11"/>
  <c r="AH39" i="11"/>
  <c r="BQ39" i="11"/>
  <c r="BE39" i="11"/>
  <c r="BA39" i="11"/>
  <c r="AO39" i="11"/>
  <c r="U39" i="11"/>
  <c r="I39" i="11"/>
  <c r="BH39" i="11"/>
  <c r="BD39" i="11"/>
  <c r="AN39" i="11"/>
  <c r="X39" i="11"/>
  <c r="H39" i="11"/>
  <c r="BC39" i="11"/>
  <c r="I41" i="11"/>
  <c r="M41" i="11"/>
  <c r="Q41" i="11"/>
  <c r="U41" i="11"/>
  <c r="AW41" i="11"/>
  <c r="BI41" i="11"/>
  <c r="BM41" i="11"/>
  <c r="J51" i="11"/>
  <c r="Z51" i="11"/>
  <c r="AH51" i="11"/>
  <c r="AP51" i="11"/>
  <c r="AX51" i="11"/>
  <c r="BF51" i="11"/>
  <c r="BN51" i="11"/>
  <c r="AQ53" i="11"/>
  <c r="AY53" i="11"/>
  <c r="BO53" i="11"/>
  <c r="K55" i="11"/>
  <c r="S55" i="11"/>
  <c r="AA55" i="11"/>
  <c r="AI55" i="11"/>
  <c r="AQ55" i="11"/>
  <c r="AY55" i="11"/>
  <c r="J41" i="11"/>
  <c r="N41" i="11"/>
  <c r="R41" i="11"/>
  <c r="V41" i="11"/>
  <c r="AH41" i="11"/>
  <c r="AX41" i="11"/>
  <c r="BJ41" i="11"/>
  <c r="BN41" i="11"/>
  <c r="AU49" i="11"/>
  <c r="AI49" i="11"/>
  <c r="W49" i="11"/>
  <c r="BJ49" i="11"/>
  <c r="AH49" i="11"/>
  <c r="V49" i="11"/>
  <c r="U49" i="11"/>
  <c r="BI49" i="11"/>
  <c r="U51" i="11"/>
  <c r="AC51" i="11"/>
  <c r="AK51" i="11"/>
  <c r="AS51" i="11"/>
  <c r="BA51" i="11"/>
  <c r="BI51" i="11"/>
  <c r="V53" i="11"/>
  <c r="AL53" i="11"/>
  <c r="BB53" i="11"/>
  <c r="BJ53" i="11"/>
  <c r="L55" i="11"/>
  <c r="AB55" i="11"/>
  <c r="AJ55" i="11"/>
  <c r="AR55" i="11"/>
  <c r="AZ55" i="11"/>
  <c r="BH55" i="11"/>
  <c r="K41" i="11"/>
  <c r="O41" i="11"/>
  <c r="S41" i="11"/>
  <c r="W41" i="11"/>
  <c r="AI41" i="11"/>
  <c r="AU41" i="11"/>
  <c r="AY41" i="11"/>
  <c r="BK41" i="11"/>
  <c r="BO41" i="11"/>
  <c r="BP51" i="11"/>
  <c r="BL51" i="11"/>
  <c r="BH51" i="11"/>
  <c r="BD51" i="11"/>
  <c r="AZ51" i="11"/>
  <c r="AV51" i="11"/>
  <c r="AR51" i="11"/>
  <c r="AN51" i="11"/>
  <c r="AJ51" i="11"/>
  <c r="AF51" i="11"/>
  <c r="AB51" i="11"/>
  <c r="X51" i="11"/>
  <c r="H51" i="11"/>
  <c r="BS51" i="11"/>
  <c r="BO51" i="11"/>
  <c r="BK51" i="11"/>
  <c r="BC51" i="11"/>
  <c r="AY51" i="11"/>
  <c r="AU51" i="11"/>
  <c r="AQ51" i="11"/>
  <c r="AM51" i="11"/>
  <c r="AI51" i="11"/>
  <c r="AE51" i="11"/>
  <c r="AA51" i="11"/>
  <c r="W51" i="11"/>
  <c r="V51" i="11"/>
  <c r="AD51" i="11"/>
  <c r="AL51" i="11"/>
  <c r="BB51" i="11"/>
  <c r="BJ51" i="11"/>
  <c r="BR51" i="11"/>
  <c r="BQ53" i="11"/>
  <c r="BM53" i="11"/>
  <c r="BI53" i="11"/>
  <c r="BE53" i="11"/>
  <c r="BA53" i="11"/>
  <c r="AW53" i="11"/>
  <c r="AO53" i="11"/>
  <c r="U53" i="11"/>
  <c r="I53" i="11"/>
  <c r="BP53" i="11"/>
  <c r="BL53" i="11"/>
  <c r="BH53" i="11"/>
  <c r="BD53" i="11"/>
  <c r="AZ53" i="11"/>
  <c r="AV53" i="11"/>
  <c r="AJ53" i="11"/>
  <c r="H53" i="11"/>
  <c r="W53" i="11"/>
  <c r="AU53" i="11"/>
  <c r="BC53" i="11"/>
  <c r="BK53" i="11"/>
  <c r="BS53" i="11"/>
  <c r="BJ55" i="11"/>
  <c r="BF55" i="11"/>
  <c r="BB55" i="11"/>
  <c r="AX55" i="11"/>
  <c r="AP55" i="11"/>
  <c r="AL55" i="11"/>
  <c r="AH55" i="11"/>
  <c r="AD55" i="11"/>
  <c r="Z55" i="11"/>
  <c r="V55" i="11"/>
  <c r="R55" i="11"/>
  <c r="N55" i="11"/>
  <c r="J55" i="11"/>
  <c r="BI55" i="11"/>
  <c r="BE55" i="11"/>
  <c r="BA55" i="11"/>
  <c r="AW55" i="11"/>
  <c r="AS55" i="11"/>
  <c r="AO55" i="11"/>
  <c r="AK55" i="11"/>
  <c r="AC55" i="11"/>
  <c r="Y55" i="11"/>
  <c r="U55" i="11"/>
  <c r="Q55" i="11"/>
  <c r="M55" i="11"/>
  <c r="I55" i="11"/>
  <c r="O55" i="11"/>
  <c r="W55" i="11"/>
  <c r="AE55" i="11"/>
  <c r="AM55" i="11"/>
  <c r="AU55" i="11"/>
  <c r="BC55" i="11"/>
  <c r="BK55" i="11"/>
  <c r="M9" i="13"/>
  <c r="AZ12" i="13"/>
  <c r="AZ16" i="13"/>
  <c r="M17" i="13"/>
  <c r="BD18" i="13"/>
  <c r="AZ20" i="13"/>
  <c r="BL22" i="13"/>
  <c r="BH23" i="13"/>
  <c r="BM25" i="13"/>
  <c r="W43" i="13"/>
  <c r="AB43" i="13"/>
  <c r="AS43" i="13"/>
  <c r="AY43" i="13"/>
  <c r="BP43" i="13"/>
  <c r="K44" i="13"/>
  <c r="AB44" i="13"/>
  <c r="AH44" i="13"/>
  <c r="AY44" i="13"/>
  <c r="BE44" i="13"/>
  <c r="K45" i="13"/>
  <c r="P45" i="13"/>
  <c r="W45" i="13"/>
  <c r="AB45" i="13"/>
  <c r="AH45" i="13"/>
  <c r="AN45" i="13"/>
  <c r="AS45" i="13"/>
  <c r="BA45" i="13"/>
  <c r="BJ45" i="13"/>
  <c r="BR45" i="13"/>
  <c r="N47" i="13"/>
  <c r="W47" i="13"/>
  <c r="AE47" i="13"/>
  <c r="AN47" i="13"/>
  <c r="AW47" i="13"/>
  <c r="BE47" i="13"/>
  <c r="BN47" i="13"/>
  <c r="BP48" i="13"/>
  <c r="BL48" i="13"/>
  <c r="BH48" i="13"/>
  <c r="BC48" i="13"/>
  <c r="AY48" i="13"/>
  <c r="AU48" i="13"/>
  <c r="AP48" i="13"/>
  <c r="AL48" i="13"/>
  <c r="AH48" i="13"/>
  <c r="AC48" i="13"/>
  <c r="Y48" i="13"/>
  <c r="U48" i="13"/>
  <c r="P48" i="13"/>
  <c r="L48" i="13"/>
  <c r="H48" i="13"/>
  <c r="BQ48" i="13"/>
  <c r="BM48" i="13"/>
  <c r="BI48" i="13"/>
  <c r="BD48" i="13"/>
  <c r="AZ48" i="13"/>
  <c r="AV48" i="13"/>
  <c r="AQ48" i="13"/>
  <c r="AM48" i="13"/>
  <c r="AI48" i="13"/>
  <c r="AD48" i="13"/>
  <c r="Z48" i="13"/>
  <c r="V48" i="13"/>
  <c r="Q48" i="13"/>
  <c r="M48" i="13"/>
  <c r="I48" i="13"/>
  <c r="K48" i="13"/>
  <c r="S48" i="13"/>
  <c r="AB48" i="13"/>
  <c r="AK48" i="13"/>
  <c r="AS48" i="13"/>
  <c r="BB48" i="13"/>
  <c r="BK48" i="13"/>
  <c r="BS48" i="13"/>
  <c r="BP52" i="13"/>
  <c r="BL52" i="13"/>
  <c r="BH52" i="13"/>
  <c r="BC52" i="13"/>
  <c r="AY52" i="13"/>
  <c r="AU52" i="13"/>
  <c r="AP52" i="13"/>
  <c r="AL52" i="13"/>
  <c r="AH52" i="13"/>
  <c r="AC52" i="13"/>
  <c r="Y52" i="13"/>
  <c r="U52" i="13"/>
  <c r="P52" i="13"/>
  <c r="L52" i="13"/>
  <c r="H52" i="13"/>
  <c r="BS52" i="13"/>
  <c r="BO52" i="13"/>
  <c r="BK52" i="13"/>
  <c r="BF52" i="13"/>
  <c r="BB52" i="13"/>
  <c r="AX52" i="13"/>
  <c r="AS52" i="13"/>
  <c r="AO52" i="13"/>
  <c r="AK52" i="13"/>
  <c r="AF52" i="13"/>
  <c r="AB52" i="13"/>
  <c r="X52" i="13"/>
  <c r="S52" i="13"/>
  <c r="O52" i="13"/>
  <c r="K52" i="13"/>
  <c r="BQ52" i="13"/>
  <c r="BM52" i="13"/>
  <c r="BI52" i="13"/>
  <c r="BD52" i="13"/>
  <c r="AZ52" i="13"/>
  <c r="AV52" i="13"/>
  <c r="AQ52" i="13"/>
  <c r="AM52" i="13"/>
  <c r="AI52" i="13"/>
  <c r="AD52" i="13"/>
  <c r="Z52" i="13"/>
  <c r="V52" i="13"/>
  <c r="Q52" i="13"/>
  <c r="M52" i="13"/>
  <c r="I52" i="13"/>
  <c r="N52" i="13"/>
  <c r="AE52" i="13"/>
  <c r="AW52" i="13"/>
  <c r="BN52" i="13"/>
  <c r="BP54" i="13"/>
  <c r="BL54" i="13"/>
  <c r="BH54" i="13"/>
  <c r="BC54" i="13"/>
  <c r="AY54" i="13"/>
  <c r="AU54" i="13"/>
  <c r="AP54" i="13"/>
  <c r="AL54" i="13"/>
  <c r="AH54" i="13"/>
  <c r="AC54" i="13"/>
  <c r="Y54" i="13"/>
  <c r="U54" i="13"/>
  <c r="P54" i="13"/>
  <c r="L54" i="13"/>
  <c r="H54" i="13"/>
  <c r="BS54" i="13"/>
  <c r="BO54" i="13"/>
  <c r="BK54" i="13"/>
  <c r="BF54" i="13"/>
  <c r="BB54" i="13"/>
  <c r="AX54" i="13"/>
  <c r="AS54" i="13"/>
  <c r="AO54" i="13"/>
  <c r="AK54" i="13"/>
  <c r="AF54" i="13"/>
  <c r="AB54" i="13"/>
  <c r="X54" i="13"/>
  <c r="S54" i="13"/>
  <c r="O54" i="13"/>
  <c r="K54" i="13"/>
  <c r="BQ54" i="13"/>
  <c r="BM54" i="13"/>
  <c r="BI54" i="13"/>
  <c r="BD54" i="13"/>
  <c r="AZ54" i="13"/>
  <c r="AV54" i="13"/>
  <c r="AQ54" i="13"/>
  <c r="AM54" i="13"/>
  <c r="AI54" i="13"/>
  <c r="AD54" i="13"/>
  <c r="Z54" i="13"/>
  <c r="V54" i="13"/>
  <c r="Q54" i="13"/>
  <c r="M54" i="13"/>
  <c r="I54" i="13"/>
  <c r="N54" i="13"/>
  <c r="AE54" i="13"/>
  <c r="AW54" i="13"/>
  <c r="BN54" i="13"/>
  <c r="BP56" i="13"/>
  <c r="BL56" i="13"/>
  <c r="BH56" i="13"/>
  <c r="BC56" i="13"/>
  <c r="AY56" i="13"/>
  <c r="AU56" i="13"/>
  <c r="AP56" i="13"/>
  <c r="AL56" i="13"/>
  <c r="AH56" i="13"/>
  <c r="AC56" i="13"/>
  <c r="Y56" i="13"/>
  <c r="U56" i="13"/>
  <c r="P56" i="13"/>
  <c r="L56" i="13"/>
  <c r="H56" i="13"/>
  <c r="BS56" i="13"/>
  <c r="BO56" i="13"/>
  <c r="BK56" i="13"/>
  <c r="BF56" i="13"/>
  <c r="BB56" i="13"/>
  <c r="AX56" i="13"/>
  <c r="AS56" i="13"/>
  <c r="AO56" i="13"/>
  <c r="AK56" i="13"/>
  <c r="AF56" i="13"/>
  <c r="AB56" i="13"/>
  <c r="X56" i="13"/>
  <c r="S56" i="13"/>
  <c r="O56" i="13"/>
  <c r="K56" i="13"/>
  <c r="BQ56" i="13"/>
  <c r="BM56" i="13"/>
  <c r="BI56" i="13"/>
  <c r="BD56" i="13"/>
  <c r="AZ56" i="13"/>
  <c r="AV56" i="13"/>
  <c r="AQ56" i="13"/>
  <c r="AM56" i="13"/>
  <c r="AI56" i="13"/>
  <c r="AD56" i="13"/>
  <c r="Z56" i="13"/>
  <c r="V56" i="13"/>
  <c r="Q56" i="13"/>
  <c r="M56" i="13"/>
  <c r="I56" i="13"/>
  <c r="N56" i="13"/>
  <c r="AE56" i="13"/>
  <c r="AW56" i="13"/>
  <c r="BN56" i="13"/>
  <c r="AU64" i="13"/>
  <c r="AL64" i="13"/>
  <c r="R64" i="13"/>
  <c r="M64" i="13"/>
  <c r="BI64" i="13"/>
  <c r="L43" i="13"/>
  <c r="R43" i="13"/>
  <c r="X43" i="13"/>
  <c r="AC43" i="13"/>
  <c r="AJ43" i="13"/>
  <c r="AO43" i="13"/>
  <c r="AU43" i="13"/>
  <c r="BA43" i="13"/>
  <c r="BF43" i="13"/>
  <c r="BL43" i="13"/>
  <c r="BR43" i="13"/>
  <c r="L44" i="13"/>
  <c r="R44" i="13"/>
  <c r="AJ44" i="13"/>
  <c r="AO44" i="13"/>
  <c r="BF44" i="13"/>
  <c r="BL44" i="13"/>
  <c r="L45" i="13"/>
  <c r="R45" i="13"/>
  <c r="X45" i="13"/>
  <c r="AC45" i="13"/>
  <c r="AJ45" i="13"/>
  <c r="AO45" i="13"/>
  <c r="AU45" i="13"/>
  <c r="BB45" i="13"/>
  <c r="BK45" i="13"/>
  <c r="BS45" i="13"/>
  <c r="O47" i="13"/>
  <c r="X47" i="13"/>
  <c r="AF47" i="13"/>
  <c r="AO47" i="13"/>
  <c r="AX47" i="13"/>
  <c r="BF47" i="13"/>
  <c r="BO47" i="13"/>
  <c r="N48" i="13"/>
  <c r="W48" i="13"/>
  <c r="AE48" i="13"/>
  <c r="AN48" i="13"/>
  <c r="AW48" i="13"/>
  <c r="BE48" i="13"/>
  <c r="BN48" i="13"/>
  <c r="BL49" i="13"/>
  <c r="BH49" i="13"/>
  <c r="AU49" i="13"/>
  <c r="AP49" i="13"/>
  <c r="AC49" i="13"/>
  <c r="Y49" i="13"/>
  <c r="L49" i="13"/>
  <c r="H49" i="13"/>
  <c r="BI49" i="13"/>
  <c r="BD49" i="13"/>
  <c r="AQ49" i="13"/>
  <c r="AM49" i="13"/>
  <c r="Z49" i="13"/>
  <c r="V49" i="13"/>
  <c r="I49" i="13"/>
  <c r="K49" i="13"/>
  <c r="AK49" i="13"/>
  <c r="AS49" i="13"/>
  <c r="BS49" i="13"/>
  <c r="R52" i="13"/>
  <c r="AJ52" i="13"/>
  <c r="BA52" i="13"/>
  <c r="BR52" i="13"/>
  <c r="R54" i="13"/>
  <c r="AJ54" i="13"/>
  <c r="BA54" i="13"/>
  <c r="BR54" i="13"/>
  <c r="R56" i="13"/>
  <c r="AJ56" i="13"/>
  <c r="BA56" i="13"/>
  <c r="BR56" i="13"/>
  <c r="L64" i="13"/>
  <c r="H43" i="13"/>
  <c r="N43" i="13"/>
  <c r="S43" i="13"/>
  <c r="Y43" i="13"/>
  <c r="AE43" i="13"/>
  <c r="AK43" i="13"/>
  <c r="AP43" i="13"/>
  <c r="AW43" i="13"/>
  <c r="BB43" i="13"/>
  <c r="BH43" i="13"/>
  <c r="BN43" i="13"/>
  <c r="S44" i="13"/>
  <c r="Y44" i="13"/>
  <c r="AP44" i="13"/>
  <c r="AW44" i="13"/>
  <c r="BN44" i="13"/>
  <c r="H45" i="13"/>
  <c r="N45" i="13"/>
  <c r="S45" i="13"/>
  <c r="Y45" i="13"/>
  <c r="AE45" i="13"/>
  <c r="AK45" i="13"/>
  <c r="AP45" i="13"/>
  <c r="AW45" i="13"/>
  <c r="BE45" i="13"/>
  <c r="BP46" i="13"/>
  <c r="BL46" i="13"/>
  <c r="BH46" i="13"/>
  <c r="BC46" i="13"/>
  <c r="AY46" i="13"/>
  <c r="AU46" i="13"/>
  <c r="AP46" i="13"/>
  <c r="AL46" i="13"/>
  <c r="AH46" i="13"/>
  <c r="AC46" i="13"/>
  <c r="Y46" i="13"/>
  <c r="U46" i="13"/>
  <c r="P46" i="13"/>
  <c r="L46" i="13"/>
  <c r="H46" i="13"/>
  <c r="BQ46" i="13"/>
  <c r="BM46" i="13"/>
  <c r="BI46" i="13"/>
  <c r="BD46" i="13"/>
  <c r="AZ46" i="13"/>
  <c r="AV46" i="13"/>
  <c r="AQ46" i="13"/>
  <c r="AM46" i="13"/>
  <c r="AI46" i="13"/>
  <c r="AD46" i="13"/>
  <c r="Z46" i="13"/>
  <c r="V46" i="13"/>
  <c r="Q46" i="13"/>
  <c r="M46" i="13"/>
  <c r="I46" i="13"/>
  <c r="K46" i="13"/>
  <c r="S46" i="13"/>
  <c r="AB46" i="13"/>
  <c r="AK46" i="13"/>
  <c r="AS46" i="13"/>
  <c r="BB46" i="13"/>
  <c r="BK46" i="13"/>
  <c r="BS46" i="13"/>
  <c r="J47" i="13"/>
  <c r="R47" i="13"/>
  <c r="AA47" i="13"/>
  <c r="AJ47" i="13"/>
  <c r="AR47" i="13"/>
  <c r="BA47" i="13"/>
  <c r="BJ47" i="13"/>
  <c r="O48" i="13"/>
  <c r="X48" i="13"/>
  <c r="AF48" i="13"/>
  <c r="AO48" i="13"/>
  <c r="AX48" i="13"/>
  <c r="BF48" i="13"/>
  <c r="BO48" i="13"/>
  <c r="N49" i="13"/>
  <c r="W49" i="13"/>
  <c r="AE49" i="13"/>
  <c r="AN49" i="13"/>
  <c r="AW49" i="13"/>
  <c r="BE49" i="13"/>
  <c r="BN49" i="13"/>
  <c r="BP50" i="13"/>
  <c r="BL50" i="13"/>
  <c r="BH50" i="13"/>
  <c r="BC50" i="13"/>
  <c r="AY50" i="13"/>
  <c r="AU50" i="13"/>
  <c r="AP50" i="13"/>
  <c r="AL50" i="13"/>
  <c r="AH50" i="13"/>
  <c r="AC50" i="13"/>
  <c r="Y50" i="13"/>
  <c r="U50" i="13"/>
  <c r="P50" i="13"/>
  <c r="L50" i="13"/>
  <c r="H50" i="13"/>
  <c r="BS50" i="13"/>
  <c r="BO50" i="13"/>
  <c r="BK50" i="13"/>
  <c r="BF50" i="13"/>
  <c r="BB50" i="13"/>
  <c r="BQ50" i="13"/>
  <c r="BM50" i="13"/>
  <c r="BI50" i="13"/>
  <c r="BD50" i="13"/>
  <c r="AZ50" i="13"/>
  <c r="AV50" i="13"/>
  <c r="AQ50" i="13"/>
  <c r="AM50" i="13"/>
  <c r="AI50" i="13"/>
  <c r="AD50" i="13"/>
  <c r="Z50" i="13"/>
  <c r="V50" i="13"/>
  <c r="Q50" i="13"/>
  <c r="M50" i="13"/>
  <c r="I50" i="13"/>
  <c r="K50" i="13"/>
  <c r="S50" i="13"/>
  <c r="AB50" i="13"/>
  <c r="AK50" i="13"/>
  <c r="AS50" i="13"/>
  <c r="BE50" i="13"/>
  <c r="BP51" i="13"/>
  <c r="BL51" i="13"/>
  <c r="BH51" i="13"/>
  <c r="BC51" i="13"/>
  <c r="AY51" i="13"/>
  <c r="AU51" i="13"/>
  <c r="AP51" i="13"/>
  <c r="AL51" i="13"/>
  <c r="AH51" i="13"/>
  <c r="AC51" i="13"/>
  <c r="Y51" i="13"/>
  <c r="U51" i="13"/>
  <c r="P51" i="13"/>
  <c r="L51" i="13"/>
  <c r="H51" i="13"/>
  <c r="BS51" i="13"/>
  <c r="BO51" i="13"/>
  <c r="BK51" i="13"/>
  <c r="BF51" i="13"/>
  <c r="BB51" i="13"/>
  <c r="AX51" i="13"/>
  <c r="AS51" i="13"/>
  <c r="AO51" i="13"/>
  <c r="AK51" i="13"/>
  <c r="AF51" i="13"/>
  <c r="AB51" i="13"/>
  <c r="X51" i="13"/>
  <c r="S51" i="13"/>
  <c r="O51" i="13"/>
  <c r="K51" i="13"/>
  <c r="BQ51" i="13"/>
  <c r="BM51" i="13"/>
  <c r="BI51" i="13"/>
  <c r="BD51" i="13"/>
  <c r="AZ51" i="13"/>
  <c r="AV51" i="13"/>
  <c r="AQ51" i="13"/>
  <c r="AM51" i="13"/>
  <c r="AI51" i="13"/>
  <c r="AD51" i="13"/>
  <c r="Z51" i="13"/>
  <c r="V51" i="13"/>
  <c r="Q51" i="13"/>
  <c r="M51" i="13"/>
  <c r="I51" i="13"/>
  <c r="N51" i="13"/>
  <c r="AE51" i="13"/>
  <c r="AW51" i="13"/>
  <c r="BN51" i="13"/>
  <c r="W52" i="13"/>
  <c r="AN52" i="13"/>
  <c r="BE52" i="13"/>
  <c r="BP53" i="13"/>
  <c r="BL53" i="13"/>
  <c r="BH53" i="13"/>
  <c r="BC53" i="13"/>
  <c r="AY53" i="13"/>
  <c r="AU53" i="13"/>
  <c r="AP53" i="13"/>
  <c r="AL53" i="13"/>
  <c r="AH53" i="13"/>
  <c r="AC53" i="13"/>
  <c r="Y53" i="13"/>
  <c r="U53" i="13"/>
  <c r="P53" i="13"/>
  <c r="L53" i="13"/>
  <c r="H53" i="13"/>
  <c r="BS53" i="13"/>
  <c r="BO53" i="13"/>
  <c r="BK53" i="13"/>
  <c r="BF53" i="13"/>
  <c r="BB53" i="13"/>
  <c r="AX53" i="13"/>
  <c r="AS53" i="13"/>
  <c r="AO53" i="13"/>
  <c r="AK53" i="13"/>
  <c r="AF53" i="13"/>
  <c r="AB53" i="13"/>
  <c r="X53" i="13"/>
  <c r="S53" i="13"/>
  <c r="O53" i="13"/>
  <c r="K53" i="13"/>
  <c r="BQ53" i="13"/>
  <c r="BM53" i="13"/>
  <c r="BI53" i="13"/>
  <c r="BD53" i="13"/>
  <c r="AZ53" i="13"/>
  <c r="AV53" i="13"/>
  <c r="AQ53" i="13"/>
  <c r="AM53" i="13"/>
  <c r="AI53" i="13"/>
  <c r="AD53" i="13"/>
  <c r="Z53" i="13"/>
  <c r="V53" i="13"/>
  <c r="Q53" i="13"/>
  <c r="M53" i="13"/>
  <c r="I53" i="13"/>
  <c r="N53" i="13"/>
  <c r="AE53" i="13"/>
  <c r="AW53" i="13"/>
  <c r="BN53" i="13"/>
  <c r="W54" i="13"/>
  <c r="AN54" i="13"/>
  <c r="BE54" i="13"/>
  <c r="BP55" i="13"/>
  <c r="BL55" i="13"/>
  <c r="BH55" i="13"/>
  <c r="BC55" i="13"/>
  <c r="AY55" i="13"/>
  <c r="AU55" i="13"/>
  <c r="AP55" i="13"/>
  <c r="AL55" i="13"/>
  <c r="AH55" i="13"/>
  <c r="AC55" i="13"/>
  <c r="Y55" i="13"/>
  <c r="U55" i="13"/>
  <c r="P55" i="13"/>
  <c r="L55" i="13"/>
  <c r="H55" i="13"/>
  <c r="BS55" i="13"/>
  <c r="BO55" i="13"/>
  <c r="BK55" i="13"/>
  <c r="BF55" i="13"/>
  <c r="BB55" i="13"/>
  <c r="AX55" i="13"/>
  <c r="AS55" i="13"/>
  <c r="AO55" i="13"/>
  <c r="AK55" i="13"/>
  <c r="AF55" i="13"/>
  <c r="AB55" i="13"/>
  <c r="X55" i="13"/>
  <c r="S55" i="13"/>
  <c r="O55" i="13"/>
  <c r="K55" i="13"/>
  <c r="BQ55" i="13"/>
  <c r="BM55" i="13"/>
  <c r="BI55" i="13"/>
  <c r="BD55" i="13"/>
  <c r="AZ55" i="13"/>
  <c r="AV55" i="13"/>
  <c r="AQ55" i="13"/>
  <c r="AM55" i="13"/>
  <c r="AI55" i="13"/>
  <c r="AD55" i="13"/>
  <c r="Z55" i="13"/>
  <c r="V55" i="13"/>
  <c r="Q55" i="13"/>
  <c r="M55" i="13"/>
  <c r="I55" i="13"/>
  <c r="N55" i="13"/>
  <c r="AE55" i="13"/>
  <c r="AW55" i="13"/>
  <c r="BN55" i="13"/>
  <c r="W56" i="13"/>
  <c r="AN56" i="13"/>
  <c r="BE56" i="13"/>
  <c r="BP57" i="13"/>
  <c r="BL57" i="13"/>
  <c r="BH57" i="13"/>
  <c r="BC57" i="13"/>
  <c r="AY57" i="13"/>
  <c r="AU57" i="13"/>
  <c r="AP57" i="13"/>
  <c r="AL57" i="13"/>
  <c r="AH57" i="13"/>
  <c r="AC57" i="13"/>
  <c r="Y57" i="13"/>
  <c r="U57" i="13"/>
  <c r="P57" i="13"/>
  <c r="L57" i="13"/>
  <c r="H57" i="13"/>
  <c r="BS57" i="13"/>
  <c r="BO57" i="13"/>
  <c r="BK57" i="13"/>
  <c r="BF57" i="13"/>
  <c r="BB57" i="13"/>
  <c r="AX57" i="13"/>
  <c r="AS57" i="13"/>
  <c r="AO57" i="13"/>
  <c r="AK57" i="13"/>
  <c r="AF57" i="13"/>
  <c r="AB57" i="13"/>
  <c r="X57" i="13"/>
  <c r="S57" i="13"/>
  <c r="O57" i="13"/>
  <c r="K57" i="13"/>
  <c r="BQ57" i="13"/>
  <c r="BM57" i="13"/>
  <c r="BI57" i="13"/>
  <c r="BD57" i="13"/>
  <c r="AZ57" i="13"/>
  <c r="AV57" i="13"/>
  <c r="AQ57" i="13"/>
  <c r="AM57" i="13"/>
  <c r="AI57" i="13"/>
  <c r="AD57" i="13"/>
  <c r="Z57" i="13"/>
  <c r="V57" i="13"/>
  <c r="Q57" i="13"/>
  <c r="M57" i="13"/>
  <c r="I57" i="13"/>
  <c r="N57" i="13"/>
  <c r="AE57" i="13"/>
  <c r="AW57" i="13"/>
  <c r="BN57" i="13"/>
  <c r="Q64" i="13"/>
  <c r="AQ64" i="13"/>
  <c r="BQ43" i="13"/>
  <c r="BM43" i="13"/>
  <c r="BI43" i="13"/>
  <c r="BD43" i="13"/>
  <c r="AZ43" i="13"/>
  <c r="AV43" i="13"/>
  <c r="AQ43" i="13"/>
  <c r="AM43" i="13"/>
  <c r="AI43" i="13"/>
  <c r="AD43" i="13"/>
  <c r="Z43" i="13"/>
  <c r="V43" i="13"/>
  <c r="Q43" i="13"/>
  <c r="M43" i="13"/>
  <c r="I43" i="13"/>
  <c r="J43" i="13"/>
  <c r="O43" i="13"/>
  <c r="U43" i="13"/>
  <c r="AA43" i="13"/>
  <c r="AF43" i="13"/>
  <c r="AL43" i="13"/>
  <c r="AR43" i="13"/>
  <c r="AX43" i="13"/>
  <c r="BC43" i="13"/>
  <c r="BJ43" i="13"/>
  <c r="BO43" i="13"/>
  <c r="BQ44" i="13"/>
  <c r="BM44" i="13"/>
  <c r="BI44" i="13"/>
  <c r="BD44" i="13"/>
  <c r="AZ44" i="13"/>
  <c r="AV44" i="13"/>
  <c r="AQ44" i="13"/>
  <c r="AM44" i="13"/>
  <c r="AI44" i="13"/>
  <c r="AD44" i="13"/>
  <c r="Z44" i="13"/>
  <c r="V44" i="13"/>
  <c r="Q44" i="13"/>
  <c r="M44" i="13"/>
  <c r="I44" i="13"/>
  <c r="J44" i="13"/>
  <c r="O44" i="13"/>
  <c r="U44" i="13"/>
  <c r="AA44" i="13"/>
  <c r="AF44" i="13"/>
  <c r="AL44" i="13"/>
  <c r="AR44" i="13"/>
  <c r="AX44" i="13"/>
  <c r="BC44" i="13"/>
  <c r="BJ44" i="13"/>
  <c r="BO44" i="13"/>
  <c r="BP45" i="13"/>
  <c r="BL45" i="13"/>
  <c r="BH45" i="13"/>
  <c r="BC45" i="13"/>
  <c r="AY45" i="13"/>
  <c r="BQ45" i="13"/>
  <c r="BM45" i="13"/>
  <c r="BI45" i="13"/>
  <c r="BD45" i="13"/>
  <c r="AZ45" i="13"/>
  <c r="AV45" i="13"/>
  <c r="AQ45" i="13"/>
  <c r="AM45" i="13"/>
  <c r="AI45" i="13"/>
  <c r="AD45" i="13"/>
  <c r="Z45" i="13"/>
  <c r="V45" i="13"/>
  <c r="Q45" i="13"/>
  <c r="M45" i="13"/>
  <c r="I45" i="13"/>
  <c r="J45" i="13"/>
  <c r="O45" i="13"/>
  <c r="U45" i="13"/>
  <c r="AA45" i="13"/>
  <c r="AF45" i="13"/>
  <c r="AL45" i="13"/>
  <c r="AR45" i="13"/>
  <c r="AX45" i="13"/>
  <c r="BF45" i="13"/>
  <c r="BO45" i="13"/>
  <c r="N46" i="13"/>
  <c r="W46" i="13"/>
  <c r="AE46" i="13"/>
  <c r="AN46" i="13"/>
  <c r="AW46" i="13"/>
  <c r="BE46" i="13"/>
  <c r="BN46" i="13"/>
  <c r="BP47" i="13"/>
  <c r="BL47" i="13"/>
  <c r="BH47" i="13"/>
  <c r="BC47" i="13"/>
  <c r="AY47" i="13"/>
  <c r="AU47" i="13"/>
  <c r="AP47" i="13"/>
  <c r="AL47" i="13"/>
  <c r="AH47" i="13"/>
  <c r="AC47" i="13"/>
  <c r="Y47" i="13"/>
  <c r="U47" i="13"/>
  <c r="P47" i="13"/>
  <c r="L47" i="13"/>
  <c r="H47" i="13"/>
  <c r="BQ47" i="13"/>
  <c r="BM47" i="13"/>
  <c r="BI47" i="13"/>
  <c r="BD47" i="13"/>
  <c r="AZ47" i="13"/>
  <c r="AV47" i="13"/>
  <c r="AQ47" i="13"/>
  <c r="AM47" i="13"/>
  <c r="AI47" i="13"/>
  <c r="AD47" i="13"/>
  <c r="Z47" i="13"/>
  <c r="V47" i="13"/>
  <c r="Q47" i="13"/>
  <c r="M47" i="13"/>
  <c r="I47" i="13"/>
  <c r="K47" i="13"/>
  <c r="S47" i="13"/>
  <c r="AB47" i="13"/>
  <c r="AK47" i="13"/>
  <c r="AS47" i="13"/>
  <c r="BB47" i="13"/>
  <c r="BK47" i="13"/>
  <c r="BS47" i="13"/>
  <c r="J48" i="13"/>
  <c r="R48" i="13"/>
  <c r="AA48" i="13"/>
  <c r="AJ48" i="13"/>
  <c r="AR48" i="13"/>
  <c r="BA48" i="13"/>
  <c r="BJ48" i="13"/>
  <c r="BR48" i="13"/>
  <c r="O49" i="13"/>
  <c r="X49" i="13"/>
  <c r="AF49" i="13"/>
  <c r="AO49" i="13"/>
  <c r="AX49" i="13"/>
  <c r="BF49" i="13"/>
  <c r="BO49" i="13"/>
  <c r="N50" i="13"/>
  <c r="W50" i="13"/>
  <c r="AE50" i="13"/>
  <c r="AN50" i="13"/>
  <c r="AW50" i="13"/>
  <c r="BJ50" i="13"/>
  <c r="R51" i="13"/>
  <c r="AJ51" i="13"/>
  <c r="BA51" i="13"/>
  <c r="BR51" i="13"/>
  <c r="J52" i="13"/>
  <c r="AA52" i="13"/>
  <c r="AR52" i="13"/>
  <c r="BJ52" i="13"/>
  <c r="R53" i="13"/>
  <c r="AJ53" i="13"/>
  <c r="BA53" i="13"/>
  <c r="BR53" i="13"/>
  <c r="J54" i="13"/>
  <c r="AA54" i="13"/>
  <c r="AR54" i="13"/>
  <c r="BJ54" i="13"/>
  <c r="R55" i="13"/>
  <c r="AJ55" i="13"/>
  <c r="BA55" i="13"/>
  <c r="BR55" i="13"/>
  <c r="J56" i="13"/>
  <c r="AA56" i="13"/>
  <c r="AR56" i="13"/>
  <c r="BJ56" i="13"/>
  <c r="R57" i="13"/>
  <c r="AJ57" i="13"/>
  <c r="BA57" i="13"/>
  <c r="BR57" i="13"/>
  <c r="W64" i="13"/>
  <c r="AZ64" i="13"/>
  <c r="BS64" i="13"/>
  <c r="BO64" i="13"/>
  <c r="BK64" i="13"/>
  <c r="BF64" i="13"/>
  <c r="BB64" i="13"/>
  <c r="AX64" i="13"/>
  <c r="AS64" i="13"/>
  <c r="AO64" i="13"/>
  <c r="AK64" i="13"/>
  <c r="AF64" i="13"/>
  <c r="AB64" i="13"/>
  <c r="X64" i="13"/>
  <c r="S64" i="13"/>
  <c r="O64" i="13"/>
  <c r="K64" i="13"/>
  <c r="BR64" i="13"/>
  <c r="BN64" i="13"/>
  <c r="BJ64" i="13"/>
  <c r="BE64" i="13"/>
  <c r="BA64" i="13"/>
  <c r="AW64" i="13"/>
  <c r="AR64" i="13"/>
  <c r="AN64" i="13"/>
  <c r="AJ64" i="13"/>
  <c r="J64" i="13"/>
  <c r="P64" i="13"/>
  <c r="V64" i="13"/>
  <c r="AA64" i="13"/>
  <c r="AH64" i="13"/>
  <c r="AP64" i="13"/>
  <c r="AY64" i="13"/>
  <c r="BH64" i="13"/>
  <c r="BP64" i="13"/>
  <c r="I64" i="13"/>
  <c r="N64" i="13"/>
  <c r="U64" i="13"/>
  <c r="Z64" i="13"/>
  <c r="AE64" i="13"/>
  <c r="AM64" i="13"/>
  <c r="AV64" i="13"/>
  <c r="BD64" i="13"/>
  <c r="BM64" i="13"/>
  <c r="H71" i="13"/>
  <c r="L71" i="13"/>
  <c r="P71" i="13"/>
  <c r="U71" i="13"/>
  <c r="Y71" i="13"/>
  <c r="AC71" i="13"/>
  <c r="AH71" i="13"/>
  <c r="AL71" i="13"/>
  <c r="AP71" i="13"/>
  <c r="AU71" i="13"/>
  <c r="AY71" i="13"/>
  <c r="BC71" i="13"/>
  <c r="BH71" i="13"/>
  <c r="BL71" i="13"/>
  <c r="BP71" i="13"/>
  <c r="H72" i="13"/>
  <c r="L72" i="13"/>
  <c r="P72" i="13"/>
  <c r="U72" i="13"/>
  <c r="Y72" i="13"/>
  <c r="AC72" i="13"/>
  <c r="AH72" i="13"/>
  <c r="AL72" i="13"/>
  <c r="AP72" i="13"/>
  <c r="AU72" i="13"/>
  <c r="AY72" i="13"/>
  <c r="BC72" i="13"/>
  <c r="BH72" i="13"/>
  <c r="BL72" i="13"/>
  <c r="BP72" i="13"/>
  <c r="H73" i="13"/>
  <c r="L73" i="13"/>
  <c r="P73" i="13"/>
  <c r="U73" i="13"/>
  <c r="Y73" i="13"/>
  <c r="AC73" i="13"/>
  <c r="AH73" i="13"/>
  <c r="AL73" i="13"/>
  <c r="AP73" i="13"/>
  <c r="AU73" i="13"/>
  <c r="AY73" i="13"/>
  <c r="BC73" i="13"/>
  <c r="BH73" i="13"/>
  <c r="BL73" i="13"/>
  <c r="BP73" i="13"/>
  <c r="H74" i="13"/>
  <c r="L74" i="13"/>
  <c r="P74" i="13"/>
  <c r="U74" i="13"/>
  <c r="Y74" i="13"/>
  <c r="AC74" i="13"/>
  <c r="AH74" i="13"/>
  <c r="AL74" i="13"/>
  <c r="AP74" i="13"/>
  <c r="AU74" i="13"/>
  <c r="AY74" i="13"/>
  <c r="BC74" i="13"/>
  <c r="BH74" i="13"/>
  <c r="BL74" i="13"/>
  <c r="BP74" i="13"/>
  <c r="H75" i="13"/>
  <c r="L75" i="13"/>
  <c r="P75" i="13"/>
  <c r="U75" i="13"/>
  <c r="Y75" i="13"/>
  <c r="AC75" i="13"/>
  <c r="AH75" i="13"/>
  <c r="AL75" i="13"/>
  <c r="AP75" i="13"/>
  <c r="AU75" i="13"/>
  <c r="AY75" i="13"/>
  <c r="BC75" i="13"/>
  <c r="BH75" i="13"/>
  <c r="BL75" i="13"/>
  <c r="BP75" i="13"/>
  <c r="H76" i="13"/>
  <c r="L76" i="13"/>
  <c r="P76" i="13"/>
  <c r="U76" i="13"/>
  <c r="Y76" i="13"/>
  <c r="AC76" i="13"/>
  <c r="AH76" i="13"/>
  <c r="AL76" i="13"/>
  <c r="AP76" i="13"/>
  <c r="AU76" i="13"/>
  <c r="AY76" i="13"/>
  <c r="BC76" i="13"/>
  <c r="BH76" i="13"/>
  <c r="BL76" i="13"/>
  <c r="BP76" i="13"/>
  <c r="H77" i="13"/>
  <c r="L77" i="13"/>
  <c r="P77" i="13"/>
  <c r="U77" i="13"/>
  <c r="Y77" i="13"/>
  <c r="AC77" i="13"/>
  <c r="AH77" i="13"/>
  <c r="AL77" i="13"/>
  <c r="AP77" i="13"/>
  <c r="AU77" i="13"/>
  <c r="AY77" i="13"/>
  <c r="BC77" i="13"/>
  <c r="BH77" i="13"/>
  <c r="BL77" i="13"/>
  <c r="I71" i="13"/>
  <c r="M71" i="13"/>
  <c r="Q71" i="13"/>
  <c r="V71" i="13"/>
  <c r="Z71" i="13"/>
  <c r="AD71" i="13"/>
  <c r="AI71" i="13"/>
  <c r="AM71" i="13"/>
  <c r="AQ71" i="13"/>
  <c r="AV71" i="13"/>
  <c r="AZ71" i="13"/>
  <c r="BD71" i="13"/>
  <c r="BI71" i="13"/>
  <c r="BM71" i="13"/>
  <c r="BQ71" i="13"/>
  <c r="I72" i="13"/>
  <c r="M72" i="13"/>
  <c r="Q72" i="13"/>
  <c r="V72" i="13"/>
  <c r="Z72" i="13"/>
  <c r="AD72" i="13"/>
  <c r="AI72" i="13"/>
  <c r="AM72" i="13"/>
  <c r="AQ72" i="13"/>
  <c r="AV72" i="13"/>
  <c r="AZ72" i="13"/>
  <c r="BD72" i="13"/>
  <c r="BI72" i="13"/>
  <c r="BM72" i="13"/>
  <c r="BQ72" i="13"/>
  <c r="I73" i="13"/>
  <c r="M73" i="13"/>
  <c r="Q73" i="13"/>
  <c r="V73" i="13"/>
  <c r="Z73" i="13"/>
  <c r="AD73" i="13"/>
  <c r="AI73" i="13"/>
  <c r="AM73" i="13"/>
  <c r="AQ73" i="13"/>
  <c r="AV73" i="13"/>
  <c r="AZ73" i="13"/>
  <c r="BD73" i="13"/>
  <c r="BI73" i="13"/>
  <c r="BM73" i="13"/>
  <c r="BQ73" i="13"/>
  <c r="I74" i="13"/>
  <c r="M74" i="13"/>
  <c r="Q74" i="13"/>
  <c r="V74" i="13"/>
  <c r="Z74" i="13"/>
  <c r="AD74" i="13"/>
  <c r="AI74" i="13"/>
  <c r="AM74" i="13"/>
  <c r="AQ74" i="13"/>
  <c r="AV74" i="13"/>
  <c r="AZ74" i="13"/>
  <c r="BD74" i="13"/>
  <c r="BI74" i="13"/>
  <c r="BM74" i="13"/>
  <c r="BQ74" i="13"/>
  <c r="I75" i="13"/>
  <c r="M75" i="13"/>
  <c r="Q75" i="13"/>
  <c r="V75" i="13"/>
  <c r="Z75" i="13"/>
  <c r="AD75" i="13"/>
  <c r="AI75" i="13"/>
  <c r="AM75" i="13"/>
  <c r="AQ75" i="13"/>
  <c r="AV75" i="13"/>
  <c r="AZ75" i="13"/>
  <c r="BD75" i="13"/>
  <c r="BI75" i="13"/>
  <c r="BM75" i="13"/>
  <c r="BQ75" i="13"/>
  <c r="I76" i="13"/>
  <c r="M76" i="13"/>
  <c r="Q76" i="13"/>
  <c r="V76" i="13"/>
  <c r="Z76" i="13"/>
  <c r="AD76" i="13"/>
  <c r="AI76" i="13"/>
  <c r="AM76" i="13"/>
  <c r="AQ76" i="13"/>
  <c r="AV76" i="13"/>
  <c r="AZ76" i="13"/>
  <c r="BD76" i="13"/>
  <c r="BI76" i="13"/>
  <c r="BM76" i="13"/>
  <c r="BQ76" i="13"/>
  <c r="BR77" i="13"/>
  <c r="BN77" i="13"/>
  <c r="I77" i="13"/>
  <c r="M77" i="13"/>
  <c r="Q77" i="13"/>
  <c r="V77" i="13"/>
  <c r="Z77" i="13"/>
  <c r="AD77" i="13"/>
  <c r="AI77" i="13"/>
  <c r="AM77" i="13"/>
  <c r="AQ77" i="13"/>
  <c r="AV77" i="13"/>
  <c r="AZ77" i="13"/>
  <c r="BD77" i="13"/>
  <c r="BI77" i="13"/>
  <c r="BM77" i="13"/>
  <c r="BS77" i="13"/>
  <c r="BK66" i="13"/>
  <c r="BK67" i="13"/>
  <c r="M68" i="13"/>
  <c r="BS69" i="13"/>
  <c r="BE69" i="13"/>
  <c r="BS70" i="13"/>
  <c r="BE70" i="13"/>
  <c r="J71" i="13"/>
  <c r="N71" i="13"/>
  <c r="R71" i="13"/>
  <c r="W71" i="13"/>
  <c r="AA71" i="13"/>
  <c r="AE71" i="13"/>
  <c r="AJ71" i="13"/>
  <c r="AN71" i="13"/>
  <c r="AR71" i="13"/>
  <c r="AW71" i="13"/>
  <c r="BA71" i="13"/>
  <c r="BE71" i="13"/>
  <c r="BJ71" i="13"/>
  <c r="BN71" i="13"/>
  <c r="BR71" i="13"/>
  <c r="J72" i="13"/>
  <c r="N72" i="13"/>
  <c r="R72" i="13"/>
  <c r="W72" i="13"/>
  <c r="AA72" i="13"/>
  <c r="AE72" i="13"/>
  <c r="AJ72" i="13"/>
  <c r="AN72" i="13"/>
  <c r="AR72" i="13"/>
  <c r="AW72" i="13"/>
  <c r="BA72" i="13"/>
  <c r="BE72" i="13"/>
  <c r="BJ72" i="13"/>
  <c r="BN72" i="13"/>
  <c r="BR72" i="13"/>
  <c r="J73" i="13"/>
  <c r="N73" i="13"/>
  <c r="R73" i="13"/>
  <c r="W73" i="13"/>
  <c r="AA73" i="13"/>
  <c r="AE73" i="13"/>
  <c r="AJ73" i="13"/>
  <c r="AN73" i="13"/>
  <c r="AR73" i="13"/>
  <c r="AW73" i="13"/>
  <c r="BA73" i="13"/>
  <c r="BE73" i="13"/>
  <c r="BJ73" i="13"/>
  <c r="BN73" i="13"/>
  <c r="BR73" i="13"/>
  <c r="J74" i="13"/>
  <c r="N74" i="13"/>
  <c r="R74" i="13"/>
  <c r="W74" i="13"/>
  <c r="AA74" i="13"/>
  <c r="AE74" i="13"/>
  <c r="AJ74" i="13"/>
  <c r="AN74" i="13"/>
  <c r="AR74" i="13"/>
  <c r="AW74" i="13"/>
  <c r="BA74" i="13"/>
  <c r="BE74" i="13"/>
  <c r="BJ74" i="13"/>
  <c r="BN74" i="13"/>
  <c r="BR74" i="13"/>
  <c r="J75" i="13"/>
  <c r="N75" i="13"/>
  <c r="R75" i="13"/>
  <c r="W75" i="13"/>
  <c r="AA75" i="13"/>
  <c r="AE75" i="13"/>
  <c r="AJ75" i="13"/>
  <c r="AN75" i="13"/>
  <c r="AR75" i="13"/>
  <c r="AW75" i="13"/>
  <c r="BA75" i="13"/>
  <c r="BE75" i="13"/>
  <c r="BJ75" i="13"/>
  <c r="BN75" i="13"/>
  <c r="BR75" i="13"/>
  <c r="J76" i="13"/>
  <c r="N76" i="13"/>
  <c r="R76" i="13"/>
  <c r="W76" i="13"/>
  <c r="AA76" i="13"/>
  <c r="AE76" i="13"/>
  <c r="AJ76" i="13"/>
  <c r="AN76" i="13"/>
  <c r="AR76" i="13"/>
  <c r="AW76" i="13"/>
  <c r="BA76" i="13"/>
  <c r="BE76" i="13"/>
  <c r="BJ76" i="13"/>
  <c r="BN76" i="13"/>
  <c r="BR76" i="13"/>
  <c r="J77" i="13"/>
  <c r="N77" i="13"/>
  <c r="R77" i="13"/>
  <c r="W77" i="13"/>
  <c r="AA77" i="13"/>
  <c r="AE77" i="13"/>
  <c r="AJ77" i="13"/>
  <c r="AN77" i="13"/>
  <c r="AR77" i="13"/>
  <c r="AW77" i="13"/>
  <c r="BA77" i="13"/>
  <c r="BE77" i="13"/>
  <c r="BJ77" i="13"/>
  <c r="BO77" i="13"/>
  <c r="K69" i="13"/>
  <c r="BK69" i="13"/>
  <c r="S70" i="13"/>
  <c r="K71" i="13"/>
  <c r="O71" i="13"/>
  <c r="S71" i="13"/>
  <c r="X71" i="13"/>
  <c r="AB71" i="13"/>
  <c r="AF71" i="13"/>
  <c r="AK71" i="13"/>
  <c r="AO71" i="13"/>
  <c r="AS71" i="13"/>
  <c r="AX71" i="13"/>
  <c r="BB71" i="13"/>
  <c r="BF71" i="13"/>
  <c r="BK71" i="13"/>
  <c r="BO71" i="13"/>
  <c r="K72" i="13"/>
  <c r="O72" i="13"/>
  <c r="S72" i="13"/>
  <c r="X72" i="13"/>
  <c r="AB72" i="13"/>
  <c r="AF72" i="13"/>
  <c r="AK72" i="13"/>
  <c r="AO72" i="13"/>
  <c r="AS72" i="13"/>
  <c r="AX72" i="13"/>
  <c r="BB72" i="13"/>
  <c r="BF72" i="13"/>
  <c r="BK72" i="13"/>
  <c r="BO72" i="13"/>
  <c r="K73" i="13"/>
  <c r="O73" i="13"/>
  <c r="S73" i="13"/>
  <c r="X73" i="13"/>
  <c r="AB73" i="13"/>
  <c r="AF73" i="13"/>
  <c r="AK73" i="13"/>
  <c r="AO73" i="13"/>
  <c r="AS73" i="13"/>
  <c r="AX73" i="13"/>
  <c r="BB73" i="13"/>
  <c r="BF73" i="13"/>
  <c r="BK73" i="13"/>
  <c r="BO73" i="13"/>
  <c r="K74" i="13"/>
  <c r="O74" i="13"/>
  <c r="S74" i="13"/>
  <c r="X74" i="13"/>
  <c r="AB74" i="13"/>
  <c r="AF74" i="13"/>
  <c r="AK74" i="13"/>
  <c r="AO74" i="13"/>
  <c r="AS74" i="13"/>
  <c r="AX74" i="13"/>
  <c r="BB74" i="13"/>
  <c r="BF74" i="13"/>
  <c r="BK74" i="13"/>
  <c r="BO74" i="13"/>
  <c r="K75" i="13"/>
  <c r="O75" i="13"/>
  <c r="S75" i="13"/>
  <c r="X75" i="13"/>
  <c r="AB75" i="13"/>
  <c r="AF75" i="13"/>
  <c r="AK75" i="13"/>
  <c r="AO75" i="13"/>
  <c r="AS75" i="13"/>
  <c r="AX75" i="13"/>
  <c r="BB75" i="13"/>
  <c r="BF75" i="13"/>
  <c r="BK75" i="13"/>
  <c r="BO75" i="13"/>
  <c r="K76" i="13"/>
  <c r="O76" i="13"/>
  <c r="S76" i="13"/>
  <c r="X76" i="13"/>
  <c r="AB76" i="13"/>
  <c r="AF76" i="13"/>
  <c r="AK76" i="13"/>
  <c r="AO76" i="13"/>
  <c r="AS76" i="13"/>
  <c r="AX76" i="13"/>
  <c r="BB76" i="13"/>
  <c r="BF76" i="13"/>
  <c r="BK76" i="13"/>
  <c r="BO76" i="13"/>
  <c r="K77" i="13"/>
  <c r="O77" i="13"/>
  <c r="S77" i="13"/>
  <c r="X77" i="13"/>
  <c r="AB77" i="13"/>
  <c r="AF77" i="13"/>
  <c r="AK77" i="13"/>
  <c r="AO77" i="13"/>
  <c r="AS77" i="13"/>
  <c r="AX77" i="13"/>
  <c r="BB77" i="13"/>
  <c r="BF77" i="13"/>
  <c r="BK77" i="13"/>
  <c r="BP77" i="13"/>
  <c r="BK79" i="13"/>
  <c r="BH80" i="13"/>
  <c r="L98" i="13"/>
  <c r="Q98" i="13"/>
  <c r="W98" i="13"/>
  <c r="AC98" i="13"/>
  <c r="AI98" i="13"/>
  <c r="AN98" i="13"/>
  <c r="AU98" i="13"/>
  <c r="AZ98" i="13"/>
  <c r="BE98" i="13"/>
  <c r="BL98" i="13"/>
  <c r="BQ98" i="13"/>
  <c r="L99" i="13"/>
  <c r="Q99" i="13"/>
  <c r="Y99" i="13"/>
  <c r="AP99" i="13"/>
  <c r="BH99" i="13"/>
  <c r="H98" i="13"/>
  <c r="M98" i="13"/>
  <c r="R98" i="13"/>
  <c r="Y98" i="13"/>
  <c r="AD98" i="13"/>
  <c r="AJ98" i="13"/>
  <c r="AP98" i="13"/>
  <c r="AV98" i="13"/>
  <c r="BA98" i="13"/>
  <c r="BH98" i="13"/>
  <c r="BM98" i="13"/>
  <c r="BR98" i="13"/>
  <c r="H99" i="13"/>
  <c r="M99" i="13"/>
  <c r="R99" i="13"/>
  <c r="AC99" i="13"/>
  <c r="AU99" i="13"/>
  <c r="BL99" i="13"/>
  <c r="I98" i="13"/>
  <c r="N98" i="13"/>
  <c r="U98" i="13"/>
  <c r="Z98" i="13"/>
  <c r="AE98" i="13"/>
  <c r="AL98" i="13"/>
  <c r="AQ98" i="13"/>
  <c r="AW98" i="13"/>
  <c r="BC98" i="13"/>
  <c r="BI98" i="13"/>
  <c r="I99" i="13"/>
  <c r="N99" i="13"/>
  <c r="U99" i="13"/>
  <c r="AH99" i="13"/>
  <c r="AY99" i="13"/>
  <c r="BS98" i="13"/>
  <c r="BO98" i="13"/>
  <c r="BK98" i="13"/>
  <c r="BF98" i="13"/>
  <c r="BB98" i="13"/>
  <c r="AX98" i="13"/>
  <c r="AS98" i="13"/>
  <c r="AO98" i="13"/>
  <c r="AK98" i="13"/>
  <c r="AF98" i="13"/>
  <c r="AB98" i="13"/>
  <c r="X98" i="13"/>
  <c r="S98" i="13"/>
  <c r="O98" i="13"/>
  <c r="K98" i="13"/>
  <c r="J98" i="13"/>
  <c r="P98" i="13"/>
  <c r="V98" i="13"/>
  <c r="AA98" i="13"/>
  <c r="AH98" i="13"/>
  <c r="AM98" i="13"/>
  <c r="AR98" i="13"/>
  <c r="AY98" i="13"/>
  <c r="BD98" i="13"/>
  <c r="BJ98" i="13"/>
  <c r="BP98" i="13"/>
  <c r="BS99" i="13"/>
  <c r="BO99" i="13"/>
  <c r="BK99" i="13"/>
  <c r="BF99" i="13"/>
  <c r="BB99" i="13"/>
  <c r="AX99" i="13"/>
  <c r="AS99" i="13"/>
  <c r="AO99" i="13"/>
  <c r="AK99" i="13"/>
  <c r="AF99" i="13"/>
  <c r="AB99" i="13"/>
  <c r="X99" i="13"/>
  <c r="S99" i="13"/>
  <c r="O99" i="13"/>
  <c r="K99" i="13"/>
  <c r="BR99" i="13"/>
  <c r="BN99" i="13"/>
  <c r="BJ99" i="13"/>
  <c r="BE99" i="13"/>
  <c r="BA99" i="13"/>
  <c r="AW99" i="13"/>
  <c r="AR99" i="13"/>
  <c r="AN99" i="13"/>
  <c r="AJ99" i="13"/>
  <c r="AE99" i="13"/>
  <c r="AA99" i="13"/>
  <c r="BQ99" i="13"/>
  <c r="BM99" i="13"/>
  <c r="BI99" i="13"/>
  <c r="BD99" i="13"/>
  <c r="AZ99" i="13"/>
  <c r="AV99" i="13"/>
  <c r="AQ99" i="13"/>
  <c r="AM99" i="13"/>
  <c r="AI99" i="13"/>
  <c r="AD99" i="13"/>
  <c r="Z99" i="13"/>
  <c r="V99" i="13"/>
  <c r="J99" i="13"/>
  <c r="P99" i="13"/>
  <c r="W99" i="13"/>
  <c r="AL99" i="13"/>
  <c r="BC99" i="13"/>
  <c r="BV12" i="14"/>
  <c r="BX12" i="14"/>
  <c r="C101" i="13"/>
  <c r="C102" i="13"/>
  <c r="C103" i="13"/>
  <c r="C104" i="13"/>
  <c r="E12" i="14"/>
  <c r="D101" i="13"/>
  <c r="D102" i="13"/>
  <c r="D103" i="13"/>
  <c r="D104" i="13"/>
  <c r="CF11" i="14"/>
  <c r="M11" i="14"/>
  <c r="I7" i="16"/>
  <c r="H7" i="16"/>
  <c r="I15" i="16"/>
  <c r="H15" i="16"/>
  <c r="I23" i="16"/>
  <c r="H23" i="16"/>
  <c r="I31" i="16"/>
  <c r="H31" i="16"/>
  <c r="I10" i="16"/>
  <c r="H10" i="16"/>
  <c r="I18" i="16"/>
  <c r="H18" i="16"/>
  <c r="I26" i="16"/>
  <c r="H26" i="16"/>
  <c r="I34" i="16"/>
  <c r="H34" i="16"/>
  <c r="H37" i="16"/>
  <c r="I37" i="16"/>
  <c r="I3" i="16"/>
  <c r="H3" i="16"/>
  <c r="I11" i="16"/>
  <c r="H11" i="16"/>
  <c r="I19" i="16"/>
  <c r="H19" i="16"/>
  <c r="I27" i="16"/>
  <c r="H27" i="16"/>
  <c r="I35" i="16"/>
  <c r="H35" i="16"/>
  <c r="I6" i="16"/>
  <c r="H6" i="16"/>
  <c r="I14" i="16"/>
  <c r="H14" i="16"/>
  <c r="I22" i="16"/>
  <c r="H22" i="16"/>
  <c r="I30" i="16"/>
  <c r="H30" i="16"/>
  <c r="I38" i="16"/>
  <c r="H38" i="16"/>
  <c r="I4" i="16"/>
  <c r="I8" i="16"/>
  <c r="I12" i="16"/>
  <c r="I16" i="16"/>
  <c r="I20" i="16"/>
  <c r="I24" i="16"/>
  <c r="I28" i="16"/>
  <c r="I32" i="16"/>
  <c r="F48" i="16"/>
  <c r="G48" i="16" s="1"/>
  <c r="I90" i="16"/>
  <c r="Q49" i="16"/>
  <c r="R49" i="16"/>
  <c r="J50" i="16"/>
  <c r="O50" i="16"/>
  <c r="P50" i="16" s="1"/>
  <c r="O64" i="16"/>
  <c r="P64" i="16" s="1"/>
  <c r="J64" i="16"/>
  <c r="I106" i="16"/>
  <c r="R65" i="16"/>
  <c r="Q65" i="16"/>
  <c r="I110" i="16"/>
  <c r="Q69" i="16"/>
  <c r="R69" i="16"/>
  <c r="G111" i="16"/>
  <c r="H111" i="16" s="1"/>
  <c r="N70" i="16"/>
  <c r="M70" i="16"/>
  <c r="G42" i="16"/>
  <c r="F44" i="16"/>
  <c r="G44" i="16" s="1"/>
  <c r="I86" i="16"/>
  <c r="Q45" i="16"/>
  <c r="R45" i="16"/>
  <c r="J46" i="16"/>
  <c r="O46" i="16"/>
  <c r="P46" i="16" s="1"/>
  <c r="U49" i="16"/>
  <c r="AA49" i="16" s="1"/>
  <c r="L49" i="16"/>
  <c r="J53" i="16"/>
  <c r="O53" i="16"/>
  <c r="P53" i="16" s="1"/>
  <c r="G98" i="16"/>
  <c r="H98" i="16" s="1"/>
  <c r="N57" i="16"/>
  <c r="M57" i="16"/>
  <c r="I101" i="16"/>
  <c r="Q60" i="16"/>
  <c r="R60" i="16"/>
  <c r="O43" i="16"/>
  <c r="P43" i="16" s="1"/>
  <c r="U45" i="16"/>
  <c r="AA45" i="16" s="1"/>
  <c r="L45" i="16"/>
  <c r="O51" i="16"/>
  <c r="P51" i="16" s="1"/>
  <c r="O56" i="16"/>
  <c r="P56" i="16" s="1"/>
  <c r="J56" i="16"/>
  <c r="I98" i="16"/>
  <c r="R57" i="16"/>
  <c r="Q57" i="16"/>
  <c r="I100" i="16"/>
  <c r="Q59" i="16"/>
  <c r="R59" i="16"/>
  <c r="I5" i="16"/>
  <c r="I9" i="16"/>
  <c r="I13" i="16"/>
  <c r="I17" i="16"/>
  <c r="I21" i="16"/>
  <c r="I25" i="16"/>
  <c r="I29" i="16"/>
  <c r="I33" i="16"/>
  <c r="K49" i="16"/>
  <c r="I93" i="16"/>
  <c r="Q52" i="16"/>
  <c r="R52" i="16"/>
  <c r="G106" i="16"/>
  <c r="H106" i="16" s="1"/>
  <c r="N65" i="16"/>
  <c r="M65" i="16"/>
  <c r="L61" i="16"/>
  <c r="R67" i="16"/>
  <c r="I108" i="16"/>
  <c r="O75" i="16"/>
  <c r="P75" i="16" s="1"/>
  <c r="J75" i="16"/>
  <c r="O77" i="16"/>
  <c r="P77" i="16" s="1"/>
  <c r="J77" i="16"/>
  <c r="F58" i="16"/>
  <c r="G58" i="16" s="1"/>
  <c r="F66" i="16"/>
  <c r="G66" i="16" s="1"/>
  <c r="U69" i="16"/>
  <c r="AA69" i="16" s="1"/>
  <c r="L69" i="16"/>
  <c r="K69" i="16"/>
  <c r="O74" i="16"/>
  <c r="P74" i="16" s="1"/>
  <c r="J74" i="16"/>
  <c r="J76" i="16"/>
  <c r="O76" i="16"/>
  <c r="P76" i="16" s="1"/>
  <c r="F84" i="16"/>
  <c r="D84" i="16"/>
  <c r="J43" i="16"/>
  <c r="J51" i="16"/>
  <c r="J52" i="16"/>
  <c r="F55" i="16"/>
  <c r="G55" i="16" s="1"/>
  <c r="J59" i="16"/>
  <c r="J60" i="16"/>
  <c r="O61" i="16"/>
  <c r="P61" i="16" s="1"/>
  <c r="U61" i="16"/>
  <c r="AA61" i="16" s="1"/>
  <c r="F63" i="16"/>
  <c r="G63" i="16" s="1"/>
  <c r="J67" i="16"/>
  <c r="F68" i="16"/>
  <c r="G68" i="16" s="1"/>
  <c r="E78" i="16"/>
  <c r="E89" i="16" s="1"/>
  <c r="F47" i="16"/>
  <c r="G47" i="16" s="1"/>
  <c r="F54" i="16"/>
  <c r="G54" i="16" s="1"/>
  <c r="F62" i="16"/>
  <c r="G62" i="16" s="1"/>
  <c r="O70" i="16"/>
  <c r="P70" i="16" s="1"/>
  <c r="F72" i="16"/>
  <c r="G72" i="16" s="1"/>
  <c r="F73" i="16"/>
  <c r="G73" i="16" s="1"/>
  <c r="F83" i="16"/>
  <c r="C119" i="16"/>
  <c r="K29" i="17"/>
  <c r="F71" i="16"/>
  <c r="G71" i="16" s="1"/>
  <c r="D85" i="16"/>
  <c r="D119" i="16" s="1"/>
  <c r="D120" i="16" s="1"/>
  <c r="C9" i="17"/>
  <c r="AX12" i="11" l="1"/>
  <c r="AW19" i="11"/>
  <c r="AK12" i="11"/>
  <c r="AJ19" i="11"/>
  <c r="X12" i="11"/>
  <c r="W19" i="11"/>
  <c r="BK10" i="11"/>
  <c r="BJ19" i="11"/>
  <c r="BK24" i="11"/>
  <c r="BJ33" i="11"/>
  <c r="AI53" i="11"/>
  <c r="AM39" i="11"/>
  <c r="AB39" i="11"/>
  <c r="AR39" i="11"/>
  <c r="AL39" i="11"/>
  <c r="AE39" i="11"/>
  <c r="AA39" i="11"/>
  <c r="AI61" i="11"/>
  <c r="AR53" i="11"/>
  <c r="W39" i="11"/>
  <c r="Y39" i="11"/>
  <c r="V39" i="11"/>
  <c r="AG39" i="11" s="1"/>
  <c r="AP39" i="11"/>
  <c r="AP53" i="11"/>
  <c r="W66" i="11"/>
  <c r="AM53" i="11"/>
  <c r="AT53" i="11" s="1"/>
  <c r="AN53" i="11"/>
  <c r="AK53" i="11"/>
  <c r="AJ39" i="11"/>
  <c r="AT39" i="11" s="1"/>
  <c r="AK39" i="11"/>
  <c r="AD39" i="11"/>
  <c r="AI66" i="11"/>
  <c r="AB54" i="11"/>
  <c r="AA53" i="11"/>
  <c r="AM41" i="11"/>
  <c r="AP13" i="11"/>
  <c r="K50" i="11"/>
  <c r="J61" i="11"/>
  <c r="AK50" i="11"/>
  <c r="AJ61" i="11"/>
  <c r="X53" i="11"/>
  <c r="J49" i="11"/>
  <c r="Z41" i="11"/>
  <c r="AV39" i="11"/>
  <c r="AV45" i="11" s="1"/>
  <c r="BL39" i="11"/>
  <c r="BI39" i="11"/>
  <c r="BI45" i="11" s="1"/>
  <c r="BI66" i="11"/>
  <c r="BK39" i="11"/>
  <c r="J66" i="11"/>
  <c r="AJ66" i="11"/>
  <c r="BO39" i="11"/>
  <c r="V61" i="11"/>
  <c r="Y53" i="11"/>
  <c r="BO55" i="11"/>
  <c r="AZ39" i="11"/>
  <c r="BP39" i="11"/>
  <c r="AC39" i="11"/>
  <c r="AW39" i="11"/>
  <c r="AW45" i="11" s="1"/>
  <c r="BM39" i="11"/>
  <c r="Z39" i="11"/>
  <c r="BJ39" i="11"/>
  <c r="BJ45" i="11" s="1"/>
  <c r="BH26" i="3" s="1"/>
  <c r="AV66" i="11"/>
  <c r="W35" i="11"/>
  <c r="W45" i="11" s="1"/>
  <c r="J23" i="11"/>
  <c r="J31" i="11" s="1"/>
  <c r="H25" i="3" s="1"/>
  <c r="BI47" i="11"/>
  <c r="BK50" i="11"/>
  <c r="BJ61" i="11"/>
  <c r="AX50" i="11"/>
  <c r="AW61" i="11"/>
  <c r="X50" i="11"/>
  <c r="W61" i="11"/>
  <c r="AP15" i="11"/>
  <c r="Q36" i="11"/>
  <c r="Q35" i="11" s="1"/>
  <c r="BK36" i="11"/>
  <c r="BJ47" i="11"/>
  <c r="K40" i="11"/>
  <c r="K66" i="11" s="1"/>
  <c r="J47" i="11"/>
  <c r="AK36" i="11"/>
  <c r="AJ47" i="11"/>
  <c r="AB37" i="11"/>
  <c r="V47" i="11"/>
  <c r="BQ41" i="11"/>
  <c r="BR41" i="11"/>
  <c r="AL41" i="11"/>
  <c r="AQ37" i="11"/>
  <c r="AX23" i="11"/>
  <c r="AX31" i="11" s="1"/>
  <c r="AV25" i="3" s="1"/>
  <c r="O21" i="11"/>
  <c r="AQ39" i="11"/>
  <c r="AI47" i="11"/>
  <c r="X36" i="11"/>
  <c r="X66" i="11" s="1"/>
  <c r="W47" i="11"/>
  <c r="AX36" i="11"/>
  <c r="AW47" i="11"/>
  <c r="L54" i="11"/>
  <c r="K53" i="11"/>
  <c r="Y41" i="11"/>
  <c r="AO13" i="11"/>
  <c r="R21" i="11"/>
  <c r="P21" i="11"/>
  <c r="AA41" i="11"/>
  <c r="AO23" i="11"/>
  <c r="AO31" i="11" s="1"/>
  <c r="AM25" i="3" s="1"/>
  <c r="AP23" i="11"/>
  <c r="AP31" i="11" s="1"/>
  <c r="AN25" i="3" s="1"/>
  <c r="BU39" i="7"/>
  <c r="BU76" i="7" s="1"/>
  <c r="AC46" i="8"/>
  <c r="BO113" i="7"/>
  <c r="BN36" i="8" s="1"/>
  <c r="BN12" i="2"/>
  <c r="AH46" i="8"/>
  <c r="AG45" i="8"/>
  <c r="BQ40" i="7"/>
  <c r="BQ77" i="7" s="1"/>
  <c r="BL40" i="7"/>
  <c r="BL77" i="7" s="1"/>
  <c r="BW33" i="7"/>
  <c r="BW70" i="7" s="1"/>
  <c r="AY112" i="7"/>
  <c r="AX35" i="8" s="1"/>
  <c r="BB112" i="7"/>
  <c r="BA35" i="8" s="1"/>
  <c r="AH45" i="8"/>
  <c r="AR81" i="7"/>
  <c r="AL10" i="3" s="1"/>
  <c r="AE132" i="7"/>
  <c r="Y8" i="3" s="1"/>
  <c r="Y60" i="3" s="1"/>
  <c r="BV33" i="7"/>
  <c r="BV70" i="7" s="1"/>
  <c r="BJ109" i="7"/>
  <c r="BC87" i="7"/>
  <c r="BB10" i="8" s="1"/>
  <c r="BN40" i="7"/>
  <c r="BN77" i="7" s="1"/>
  <c r="BK12" i="2"/>
  <c r="BW37" i="7"/>
  <c r="BW74" i="7" s="1"/>
  <c r="BJ38" i="8"/>
  <c r="BH111" i="7"/>
  <c r="BG34" i="8" s="1"/>
  <c r="AD46" i="8"/>
  <c r="BG22" i="3"/>
  <c r="BH22" i="3"/>
  <c r="BQ22" i="3"/>
  <c r="BQ32" i="3" s="1"/>
  <c r="BA103" i="7"/>
  <c r="AZ26" i="8" s="1"/>
  <c r="AF47" i="8"/>
  <c r="O9" i="2"/>
  <c r="BN31" i="7"/>
  <c r="BN68" i="7" s="1"/>
  <c r="BE94" i="7"/>
  <c r="BD17" i="8" s="1"/>
  <c r="BH107" i="7"/>
  <c r="BG30" i="8" s="1"/>
  <c r="BA89" i="7"/>
  <c r="AZ12" i="8" s="1"/>
  <c r="AK124" i="7"/>
  <c r="AB44" i="8"/>
  <c r="BD112" i="7"/>
  <c r="BC35" i="8" s="1"/>
  <c r="BR22" i="7"/>
  <c r="BR59" i="7" s="1"/>
  <c r="BU35" i="7"/>
  <c r="BU72" i="7" s="1"/>
  <c r="BN17" i="7"/>
  <c r="BN54" i="7" s="1"/>
  <c r="BJ105" i="7"/>
  <c r="BI28" i="8" s="1"/>
  <c r="AI48" i="8"/>
  <c r="AD19" i="3" s="1"/>
  <c r="AE44" i="8"/>
  <c r="AL44" i="8"/>
  <c r="Y46" i="8"/>
  <c r="Y48" i="8" s="1"/>
  <c r="T19" i="3" s="1"/>
  <c r="BI96" i="7"/>
  <c r="BH19" i="8" s="1"/>
  <c r="BP113" i="7"/>
  <c r="BO36" i="8" s="1"/>
  <c r="BI105" i="7"/>
  <c r="BH28" i="8" s="1"/>
  <c r="AN117" i="7"/>
  <c r="AH15" i="3" s="1"/>
  <c r="BV24" i="7"/>
  <c r="BV61" i="7" s="1"/>
  <c r="BP39" i="7"/>
  <c r="BP76" i="7" s="1"/>
  <c r="BU98" i="7"/>
  <c r="BT21" i="8" s="1"/>
  <c r="BE109" i="7"/>
  <c r="BG93" i="7"/>
  <c r="AT121" i="7"/>
  <c r="AT128" i="7" s="1"/>
  <c r="AB48" i="8"/>
  <c r="W19" i="3" s="1"/>
  <c r="BE107" i="7"/>
  <c r="BD30" i="8" s="1"/>
  <c r="BK115" i="7"/>
  <c r="BR37" i="7"/>
  <c r="BR74" i="7" s="1"/>
  <c r="BT21" i="7"/>
  <c r="BT58" i="7" s="1"/>
  <c r="AG23" i="8"/>
  <c r="AB20" i="3" s="1"/>
  <c r="Z48" i="8"/>
  <c r="U19" i="3" s="1"/>
  <c r="AD132" i="7"/>
  <c r="X8" i="3" s="1"/>
  <c r="X60" i="3" s="1"/>
  <c r="Z132" i="7"/>
  <c r="T8" i="3" s="1"/>
  <c r="T60" i="3" s="1"/>
  <c r="BW114" i="7"/>
  <c r="BV37" i="8" s="1"/>
  <c r="BR35" i="7"/>
  <c r="BR72" i="7" s="1"/>
  <c r="AX109" i="7"/>
  <c r="BJ107" i="7"/>
  <c r="BI30" i="8" s="1"/>
  <c r="BP99" i="7"/>
  <c r="BO22" i="8" s="1"/>
  <c r="BU22" i="7"/>
  <c r="BU59" i="7" s="1"/>
  <c r="BJ94" i="7"/>
  <c r="BI17" i="8" s="1"/>
  <c r="BP15" i="7"/>
  <c r="BP52" i="7" s="1"/>
  <c r="BT24" i="7"/>
  <c r="BT61" i="7" s="1"/>
  <c r="BG94" i="7"/>
  <c r="BF17" i="8" s="1"/>
  <c r="AK122" i="7"/>
  <c r="BJ106" i="7"/>
  <c r="BI29" i="8" s="1"/>
  <c r="BW34" i="7"/>
  <c r="BW71" i="7" s="1"/>
  <c r="X13" i="3"/>
  <c r="X24" i="3" s="1"/>
  <c r="BJ112" i="7"/>
  <c r="BI35" i="8" s="1"/>
  <c r="BT16" i="7"/>
  <c r="BT53" i="7" s="1"/>
  <c r="U14" i="3"/>
  <c r="AC45" i="8"/>
  <c r="AC48" i="8" s="1"/>
  <c r="X19" i="3" s="1"/>
  <c r="AK123" i="7"/>
  <c r="AH44" i="8"/>
  <c r="Q132" i="7"/>
  <c r="K8" i="3" s="1"/>
  <c r="L9" i="2" s="1"/>
  <c r="U9" i="2"/>
  <c r="BC92" i="7"/>
  <c r="BB15" i="8" s="1"/>
  <c r="O132" i="7"/>
  <c r="I8" i="3" s="1"/>
  <c r="J9" i="2" s="1"/>
  <c r="U16" i="3"/>
  <c r="U44" i="3" s="1"/>
  <c r="BR11" i="3"/>
  <c r="BW40" i="7"/>
  <c r="BW77" i="7" s="1"/>
  <c r="BE111" i="7"/>
  <c r="BD34" i="8" s="1"/>
  <c r="BP20" i="7"/>
  <c r="BP57" i="7" s="1"/>
  <c r="BI112" i="7"/>
  <c r="BH35" i="8" s="1"/>
  <c r="BW22" i="7"/>
  <c r="BW59" i="7" s="1"/>
  <c r="BT22" i="7"/>
  <c r="BT59" i="7" s="1"/>
  <c r="BO12" i="2"/>
  <c r="AE45" i="8"/>
  <c r="BJ89" i="7"/>
  <c r="BI12" i="8" s="1"/>
  <c r="BM87" i="7"/>
  <c r="BL10" i="8" s="1"/>
  <c r="BR39" i="7"/>
  <c r="BR76" i="7" s="1"/>
  <c r="BI88" i="7"/>
  <c r="BH11" i="8" s="1"/>
  <c r="BV40" i="7"/>
  <c r="BV77" i="7" s="1"/>
  <c r="BA111" i="7"/>
  <c r="AZ34" i="8" s="1"/>
  <c r="AJ13" i="8"/>
  <c r="I9" i="2"/>
  <c r="BW17" i="7"/>
  <c r="BW54" i="7" s="1"/>
  <c r="AJ13" i="3"/>
  <c r="AJ14" i="3" s="1"/>
  <c r="BG88" i="7"/>
  <c r="BF11" i="8" s="1"/>
  <c r="BV16" i="7"/>
  <c r="BV53" i="7" s="1"/>
  <c r="BH94" i="7"/>
  <c r="BG17" i="8" s="1"/>
  <c r="BN39" i="7"/>
  <c r="BN76" i="7" s="1"/>
  <c r="BG96" i="7"/>
  <c r="BF19" i="8" s="1"/>
  <c r="AM123" i="7"/>
  <c r="AM130" i="7" s="1"/>
  <c r="S132" i="7"/>
  <c r="M8" i="3" s="1"/>
  <c r="N9" i="2" s="1"/>
  <c r="AF46" i="8"/>
  <c r="BK38" i="7"/>
  <c r="BH75" i="7"/>
  <c r="BK75" i="7" s="1"/>
  <c r="BT23" i="7"/>
  <c r="BT60" i="7" s="1"/>
  <c r="BG60" i="7"/>
  <c r="AR123" i="7"/>
  <c r="AR130" i="7" s="1"/>
  <c r="AR132" i="7" s="1"/>
  <c r="AL8" i="3" s="1"/>
  <c r="X44" i="8"/>
  <c r="Y128" i="7"/>
  <c r="AK128" i="7" s="1"/>
  <c r="AH131" i="7"/>
  <c r="AH132" i="7" s="1"/>
  <c r="AB8" i="3" s="1"/>
  <c r="AB60" i="3" s="1"/>
  <c r="AG47" i="8"/>
  <c r="AP121" i="7"/>
  <c r="AP128" i="7" s="1"/>
  <c r="AP132" i="7" s="1"/>
  <c r="AJ8" i="3" s="1"/>
  <c r="X129" i="7"/>
  <c r="AK47" i="8"/>
  <c r="AL131" i="7"/>
  <c r="BK35" i="7"/>
  <c r="BD72" i="7"/>
  <c r="BK72" i="7" s="1"/>
  <c r="BK37" i="7"/>
  <c r="BD74" i="7"/>
  <c r="BK74" i="7" s="1"/>
  <c r="BW115" i="7"/>
  <c r="BV38" i="8" s="1"/>
  <c r="BW80" i="7"/>
  <c r="BX80" i="7" s="1"/>
  <c r="BT15" i="7"/>
  <c r="BT52" i="7" s="1"/>
  <c r="BG52" i="7"/>
  <c r="BW19" i="7"/>
  <c r="BW56" i="7" s="1"/>
  <c r="BJ56" i="7"/>
  <c r="BJ65" i="7" s="1"/>
  <c r="BD9" i="3" s="1"/>
  <c r="BK40" i="7"/>
  <c r="BH77" i="7"/>
  <c r="BK77" i="7" s="1"/>
  <c r="AZ91" i="7"/>
  <c r="AY14" i="8" s="1"/>
  <c r="AZ56" i="7"/>
  <c r="X46" i="8"/>
  <c r="Y130" i="7"/>
  <c r="AK130" i="7" s="1"/>
  <c r="X45" i="8"/>
  <c r="Y129" i="7"/>
  <c r="AK129" i="7" s="1"/>
  <c r="AB9" i="2"/>
  <c r="X130" i="7"/>
  <c r="AF132" i="7"/>
  <c r="Z8" i="3" s="1"/>
  <c r="Z60" i="3" s="1"/>
  <c r="N48" i="8"/>
  <c r="I19" i="3" s="1"/>
  <c r="AI132" i="7"/>
  <c r="AC8" i="3" s="1"/>
  <c r="AC60" i="3" s="1"/>
  <c r="AG132" i="7"/>
  <c r="AA8" i="3" s="1"/>
  <c r="AA60" i="3" s="1"/>
  <c r="P48" i="8"/>
  <c r="K19" i="3" s="1"/>
  <c r="W46" i="8"/>
  <c r="AD48" i="8"/>
  <c r="Y19" i="3" s="1"/>
  <c r="AP117" i="7"/>
  <c r="AJ15" i="3" s="1"/>
  <c r="V132" i="7"/>
  <c r="P8" i="3" s="1"/>
  <c r="P60" i="3" s="1"/>
  <c r="AO45" i="8"/>
  <c r="AM44" i="8"/>
  <c r="AR32" i="3"/>
  <c r="BP13" i="2"/>
  <c r="BQ13" i="2" s="1"/>
  <c r="R12" i="1" s="1"/>
  <c r="BQ33" i="3"/>
  <c r="AO46" i="8"/>
  <c r="AT44" i="8"/>
  <c r="AQ44" i="8"/>
  <c r="AR47" i="8"/>
  <c r="AN132" i="7"/>
  <c r="AH8" i="3" s="1"/>
  <c r="AM47" i="8"/>
  <c r="AU47" i="8"/>
  <c r="AX104" i="7"/>
  <c r="AT27" i="8"/>
  <c r="AW27" i="8" s="1"/>
  <c r="AY124" i="7"/>
  <c r="AX13" i="8"/>
  <c r="AL123" i="7"/>
  <c r="AK12" i="8"/>
  <c r="AS46" i="8"/>
  <c r="AV45" i="8"/>
  <c r="AV44" i="8"/>
  <c r="AT47" i="8"/>
  <c r="AT45" i="8"/>
  <c r="AR46" i="8"/>
  <c r="AQ45" i="8"/>
  <c r="AD9" i="2"/>
  <c r="I8" i="1" s="1"/>
  <c r="W45" i="8"/>
  <c r="AL122" i="7"/>
  <c r="AK11" i="8"/>
  <c r="AP47" i="8"/>
  <c r="AM45" i="8"/>
  <c r="AO47" i="8"/>
  <c r="K9" i="2"/>
  <c r="W9" i="2"/>
  <c r="AX70" i="7"/>
  <c r="AL121" i="7"/>
  <c r="AK10" i="8"/>
  <c r="AQ47" i="8"/>
  <c r="AK121" i="7"/>
  <c r="AT46" i="8"/>
  <c r="AL45" i="8"/>
  <c r="AM46" i="8"/>
  <c r="AV47" i="8"/>
  <c r="AA48" i="8"/>
  <c r="V19" i="3" s="1"/>
  <c r="AS22" i="3"/>
  <c r="BE22" i="3" s="1"/>
  <c r="BE32" i="3" s="1"/>
  <c r="T13" i="3"/>
  <c r="T14" i="3" s="1"/>
  <c r="S13" i="3"/>
  <c r="S14" i="3" s="1"/>
  <c r="AH13" i="3"/>
  <c r="AH14" i="3" s="1"/>
  <c r="W13" i="3"/>
  <c r="W24" i="3" s="1"/>
  <c r="C32" i="8"/>
  <c r="AB32" i="8"/>
  <c r="AB39" i="8" s="1"/>
  <c r="W21" i="3" s="1"/>
  <c r="AF32" i="8"/>
  <c r="AF39" i="8" s="1"/>
  <c r="AA21" i="3" s="1"/>
  <c r="AC32" i="8"/>
  <c r="AC39" i="8" s="1"/>
  <c r="X21" i="3" s="1"/>
  <c r="AH32" i="8"/>
  <c r="Y32" i="8"/>
  <c r="Y39" i="8" s="1"/>
  <c r="T21" i="3" s="1"/>
  <c r="AD32" i="8"/>
  <c r="AD39" i="8" s="1"/>
  <c r="Y21" i="3" s="1"/>
  <c r="AI32" i="8"/>
  <c r="AI39" i="8" s="1"/>
  <c r="AD21" i="3" s="1"/>
  <c r="Z32" i="8"/>
  <c r="Z39" i="8" s="1"/>
  <c r="U21" i="3" s="1"/>
  <c r="AE32" i="8"/>
  <c r="AE39" i="8" s="1"/>
  <c r="Z21" i="3" s="1"/>
  <c r="AA32" i="8"/>
  <c r="AA39" i="8" s="1"/>
  <c r="V21" i="3" s="1"/>
  <c r="AG32" i="8"/>
  <c r="AG39" i="8" s="1"/>
  <c r="AB21" i="3" s="1"/>
  <c r="X32" i="8"/>
  <c r="X39" i="8" s="1"/>
  <c r="S21" i="3" s="1"/>
  <c r="D16" i="8"/>
  <c r="AN16" i="8"/>
  <c r="AR16" i="8"/>
  <c r="AV16" i="8"/>
  <c r="AV23" i="8" s="1"/>
  <c r="AQ20" i="3" s="1"/>
  <c r="AP16" i="8"/>
  <c r="AU16" i="8"/>
  <c r="AL16" i="8"/>
  <c r="AL23" i="8" s="1"/>
  <c r="AG20" i="3" s="1"/>
  <c r="AQ16" i="8"/>
  <c r="AQ23" i="8" s="1"/>
  <c r="AL20" i="3" s="1"/>
  <c r="AM16" i="8"/>
  <c r="AM23" i="8" s="1"/>
  <c r="AH20" i="3" s="1"/>
  <c r="AS16" i="8"/>
  <c r="AS23" i="8" s="1"/>
  <c r="AN20" i="3" s="1"/>
  <c r="AK16" i="8"/>
  <c r="AO16" i="8"/>
  <c r="AO23" i="8" s="1"/>
  <c r="AJ20" i="3" s="1"/>
  <c r="AT16" i="8"/>
  <c r="AT23" i="8" s="1"/>
  <c r="AO20" i="3" s="1"/>
  <c r="AR23" i="3"/>
  <c r="AR33" i="3" s="1"/>
  <c r="BH23" i="3"/>
  <c r="BG13" i="2" s="1"/>
  <c r="BE23" i="3"/>
  <c r="BE33" i="3" s="1"/>
  <c r="BJ23" i="3"/>
  <c r="BI13" i="2" s="1"/>
  <c r="BK23" i="3"/>
  <c r="BJ13" i="2" s="1"/>
  <c r="BG23" i="3"/>
  <c r="BF13" i="2" s="1"/>
  <c r="BI23" i="3"/>
  <c r="BH13" i="2" s="1"/>
  <c r="AB13" i="3"/>
  <c r="AB14" i="3" s="1"/>
  <c r="BJ91" i="7"/>
  <c r="BI14" i="8" s="1"/>
  <c r="AD13" i="3"/>
  <c r="AD14" i="3" s="1"/>
  <c r="AW65" i="7"/>
  <c r="AQ9" i="3" s="1"/>
  <c r="AQ13" i="3" s="1"/>
  <c r="AA13" i="3"/>
  <c r="AA14" i="3" s="1"/>
  <c r="AL13" i="3"/>
  <c r="AL24" i="3" s="1"/>
  <c r="AT65" i="7"/>
  <c r="AN9" i="3" s="1"/>
  <c r="AN13" i="3" s="1"/>
  <c r="AT122" i="7"/>
  <c r="AT129" i="7" s="1"/>
  <c r="AT124" i="7"/>
  <c r="AT131" i="7" s="1"/>
  <c r="BJ96" i="7"/>
  <c r="BI19" i="8" s="1"/>
  <c r="AC54" i="3"/>
  <c r="AC53" i="3"/>
  <c r="AC49" i="3"/>
  <c r="BG87" i="7"/>
  <c r="V9" i="2"/>
  <c r="X128" i="7"/>
  <c r="AU132" i="7"/>
  <c r="AO8" i="3" s="1"/>
  <c r="AO60" i="3" s="1"/>
  <c r="M9" i="2"/>
  <c r="L132" i="7"/>
  <c r="F8" i="3" s="1"/>
  <c r="AE10" i="3"/>
  <c r="AE15" i="3"/>
  <c r="Z14" i="3"/>
  <c r="BE121" i="7"/>
  <c r="BE128" i="7" s="1"/>
  <c r="BH124" i="7"/>
  <c r="BH131" i="7" s="1"/>
  <c r="AO123" i="7"/>
  <c r="AO130" i="7" s="1"/>
  <c r="AQ122" i="7"/>
  <c r="AQ129" i="7" s="1"/>
  <c r="AV123" i="7"/>
  <c r="AV130" i="7" s="1"/>
  <c r="BF123" i="7"/>
  <c r="BF130" i="7" s="1"/>
  <c r="BJ124" i="7"/>
  <c r="BJ131" i="7" s="1"/>
  <c r="BF124" i="7"/>
  <c r="BF131" i="7" s="1"/>
  <c r="AS121" i="7"/>
  <c r="AS128" i="7" s="1"/>
  <c r="AE9" i="3"/>
  <c r="BX10" i="7"/>
  <c r="BF12" i="3"/>
  <c r="BF23" i="3" s="1"/>
  <c r="BA124" i="7"/>
  <c r="BA131" i="7" s="1"/>
  <c r="BE123" i="7"/>
  <c r="BE130" i="7" s="1"/>
  <c r="AQ123" i="7"/>
  <c r="AQ130" i="7" s="1"/>
  <c r="BC122" i="7"/>
  <c r="BC129" i="7" s="1"/>
  <c r="BJ122" i="7"/>
  <c r="BJ129" i="7" s="1"/>
  <c r="BE124" i="7"/>
  <c r="BE131" i="7" s="1"/>
  <c r="AM124" i="7"/>
  <c r="BH122" i="7"/>
  <c r="BH129" i="7" s="1"/>
  <c r="AO121" i="7"/>
  <c r="AO128" i="7" s="1"/>
  <c r="AO122" i="7"/>
  <c r="AO129" i="7" s="1"/>
  <c r="AW123" i="7"/>
  <c r="AW130" i="7" s="1"/>
  <c r="AZ121" i="7"/>
  <c r="AZ128" i="7" s="1"/>
  <c r="AS12" i="2"/>
  <c r="AC14" i="3"/>
  <c r="V14" i="3"/>
  <c r="BJ121" i="7"/>
  <c r="BJ128" i="7" s="1"/>
  <c r="AS122" i="7"/>
  <c r="AS129" i="7" s="1"/>
  <c r="BA122" i="7"/>
  <c r="BA129" i="7" s="1"/>
  <c r="BH121" i="7"/>
  <c r="BH128" i="7" s="1"/>
  <c r="BI124" i="7"/>
  <c r="BI131" i="7" s="1"/>
  <c r="BC123" i="7"/>
  <c r="BC130" i="7" s="1"/>
  <c r="BE122" i="7"/>
  <c r="BE129" i="7" s="1"/>
  <c r="BA121" i="7"/>
  <c r="BA128" i="7" s="1"/>
  <c r="AQ121" i="7"/>
  <c r="AQ128" i="7" s="1"/>
  <c r="Y14" i="3"/>
  <c r="BH123" i="7"/>
  <c r="BH130" i="7" s="1"/>
  <c r="BC124" i="7"/>
  <c r="BC131" i="7" s="1"/>
  <c r="AZ122" i="7"/>
  <c r="AZ129" i="7" s="1"/>
  <c r="AZ123" i="7"/>
  <c r="AZ130" i="7" s="1"/>
  <c r="BG124" i="7"/>
  <c r="BG131" i="7" s="1"/>
  <c r="AO124" i="7"/>
  <c r="AO131" i="7" s="1"/>
  <c r="BA123" i="7"/>
  <c r="BA130" i="7" s="1"/>
  <c r="BG123" i="7"/>
  <c r="BG130" i="7" s="1"/>
  <c r="BD124" i="7"/>
  <c r="BD131" i="7" s="1"/>
  <c r="AV121" i="7"/>
  <c r="AV128" i="7" s="1"/>
  <c r="AV122" i="7"/>
  <c r="AV129" i="7" s="1"/>
  <c r="BX43" i="7"/>
  <c r="BY43" i="7" s="1"/>
  <c r="AR117" i="7"/>
  <c r="AL15" i="3" s="1"/>
  <c r="AT117" i="7"/>
  <c r="AN15" i="3" s="1"/>
  <c r="BW24" i="7"/>
  <c r="AK49" i="3"/>
  <c r="L58" i="11"/>
  <c r="K57" i="11"/>
  <c r="L52" i="11"/>
  <c r="K51" i="11"/>
  <c r="BG95" i="7"/>
  <c r="BF18" i="8" s="1"/>
  <c r="AW117" i="7"/>
  <c r="AQ15" i="3" s="1"/>
  <c r="AW33" i="8"/>
  <c r="AK54" i="3"/>
  <c r="AA49" i="3"/>
  <c r="R15" i="3"/>
  <c r="AX52" i="7"/>
  <c r="AX110" i="7"/>
  <c r="AU81" i="7"/>
  <c r="AO10" i="3" s="1"/>
  <c r="BK33" i="7"/>
  <c r="AX54" i="7"/>
  <c r="AA54" i="3"/>
  <c r="BB70" i="13"/>
  <c r="AS69" i="13"/>
  <c r="AN70" i="13"/>
  <c r="AN69" i="13"/>
  <c r="BH44" i="13"/>
  <c r="AK44" i="13"/>
  <c r="N44" i="13"/>
  <c r="BQ64" i="13"/>
  <c r="BK49" i="13"/>
  <c r="AB49" i="13"/>
  <c r="M49" i="13"/>
  <c r="AD49" i="13"/>
  <c r="AV49" i="13"/>
  <c r="BM49" i="13"/>
  <c r="P49" i="13"/>
  <c r="AH49" i="13"/>
  <c r="AY49" i="13"/>
  <c r="BP49" i="13"/>
  <c r="BA44" i="13"/>
  <c r="AC44" i="13"/>
  <c r="AC64" i="13"/>
  <c r="Y64" i="13"/>
  <c r="BC64" i="13"/>
  <c r="BP44" i="13"/>
  <c r="AS44" i="13"/>
  <c r="W44" i="13"/>
  <c r="BK43" i="13"/>
  <c r="AN43" i="13"/>
  <c r="P43" i="13"/>
  <c r="BE51" i="13"/>
  <c r="AN51" i="13"/>
  <c r="AK70" i="13"/>
  <c r="AB69" i="13"/>
  <c r="W70" i="13"/>
  <c r="W69" i="13"/>
  <c r="BB44" i="13"/>
  <c r="AE44" i="13"/>
  <c r="H44" i="13"/>
  <c r="AI64" i="13"/>
  <c r="BB49" i="13"/>
  <c r="S49" i="13"/>
  <c r="Q49" i="13"/>
  <c r="AI49" i="13"/>
  <c r="AZ49" i="13"/>
  <c r="BQ49" i="13"/>
  <c r="U49" i="13"/>
  <c r="AL49" i="13"/>
  <c r="BR44" i="13"/>
  <c r="AU44" i="13"/>
  <c r="X44" i="13"/>
  <c r="H64" i="13"/>
  <c r="AD64" i="13"/>
  <c r="BK44" i="13"/>
  <c r="AN44" i="13"/>
  <c r="BE43" i="13"/>
  <c r="AH43" i="13"/>
  <c r="K43" i="13"/>
  <c r="V10" i="13"/>
  <c r="BS72" i="13"/>
  <c r="W51" i="13"/>
  <c r="M13" i="13"/>
  <c r="J51" i="13"/>
  <c r="AA51" i="13"/>
  <c r="AZ24" i="13"/>
  <c r="BQ21" i="13"/>
  <c r="BH19" i="13"/>
  <c r="BH15" i="13"/>
  <c r="AQ81" i="7"/>
  <c r="AK10" i="3" s="1"/>
  <c r="AX78" i="7"/>
  <c r="AX57" i="7"/>
  <c r="AO117" i="7"/>
  <c r="AI15" i="3" s="1"/>
  <c r="AX61" i="7"/>
  <c r="AM117" i="7"/>
  <c r="AG15" i="3" s="1"/>
  <c r="AX60" i="7"/>
  <c r="AX58" i="7"/>
  <c r="AV117" i="7"/>
  <c r="AP15" i="3" s="1"/>
  <c r="BK24" i="7"/>
  <c r="AX90" i="7"/>
  <c r="AW28" i="8"/>
  <c r="AX59" i="7"/>
  <c r="BL90" i="7"/>
  <c r="AY91" i="7"/>
  <c r="AX14" i="8" s="1"/>
  <c r="AY108" i="7"/>
  <c r="AX31" i="8" s="1"/>
  <c r="BK73" i="7"/>
  <c r="BS104" i="7"/>
  <c r="BR27" i="8" s="1"/>
  <c r="BS99" i="7"/>
  <c r="BR22" i="8" s="1"/>
  <c r="BO106" i="7"/>
  <c r="BN29" i="8" s="1"/>
  <c r="BW95" i="7"/>
  <c r="BV18" i="8" s="1"/>
  <c r="BN108" i="7"/>
  <c r="BM31" i="8" s="1"/>
  <c r="BO21" i="7"/>
  <c r="BO58" i="7" s="1"/>
  <c r="BB93" i="7"/>
  <c r="BS111" i="7"/>
  <c r="BR34" i="8" s="1"/>
  <c r="BW107" i="7"/>
  <c r="BV30" i="8" s="1"/>
  <c r="BQ112" i="7"/>
  <c r="BP35" i="8" s="1"/>
  <c r="BO98" i="7"/>
  <c r="BN21" i="8" s="1"/>
  <c r="BP96" i="7"/>
  <c r="BO19" i="8" s="1"/>
  <c r="BV97" i="7"/>
  <c r="BU20" i="8" s="1"/>
  <c r="BT90" i="7"/>
  <c r="BS13" i="8" s="1"/>
  <c r="BM103" i="7"/>
  <c r="BL26" i="8" s="1"/>
  <c r="BC81" i="7"/>
  <c r="AW10" i="3" s="1"/>
  <c r="BM22" i="7"/>
  <c r="BM59" i="7" s="1"/>
  <c r="AZ94" i="7"/>
  <c r="AY17" i="8" s="1"/>
  <c r="BS24" i="7"/>
  <c r="BS61" i="7" s="1"/>
  <c r="BF96" i="7"/>
  <c r="BE19" i="8" s="1"/>
  <c r="BM18" i="7"/>
  <c r="BM55" i="7" s="1"/>
  <c r="AZ90" i="7"/>
  <c r="AY13" i="8" s="1"/>
  <c r="AL65" i="7"/>
  <c r="AF9" i="3" s="1"/>
  <c r="BP104" i="7"/>
  <c r="BO27" i="8" s="1"/>
  <c r="AW19" i="8"/>
  <c r="BP93" i="7"/>
  <c r="BN92" i="7"/>
  <c r="BM15" i="8" s="1"/>
  <c r="BQ21" i="7"/>
  <c r="BQ58" i="7" s="1"/>
  <c r="BD93" i="7"/>
  <c r="AX74" i="7"/>
  <c r="BQ91" i="7"/>
  <c r="BP14" i="8" s="1"/>
  <c r="BU106" i="7"/>
  <c r="BT29" i="8" s="1"/>
  <c r="BQ104" i="7"/>
  <c r="BP27" i="8" s="1"/>
  <c r="BU38" i="7"/>
  <c r="BH110" i="7"/>
  <c r="BG33" i="8" s="1"/>
  <c r="BQ97" i="7"/>
  <c r="BP20" i="8" s="1"/>
  <c r="BQ103" i="7"/>
  <c r="BP26" i="8" s="1"/>
  <c r="BT105" i="7"/>
  <c r="BS28" i="8" s="1"/>
  <c r="BO108" i="7"/>
  <c r="BN31" i="8" s="1"/>
  <c r="BS89" i="7"/>
  <c r="BR12" i="8" s="1"/>
  <c r="BN89" i="7"/>
  <c r="BM12" i="8" s="1"/>
  <c r="BW98" i="7"/>
  <c r="BV21" i="8" s="1"/>
  <c r="BR88" i="7"/>
  <c r="BQ11" i="8" s="1"/>
  <c r="BN91" i="7"/>
  <c r="BM14" i="8" s="1"/>
  <c r="BO109" i="7"/>
  <c r="AL117" i="7"/>
  <c r="AF15" i="3" s="1"/>
  <c r="AX103" i="7"/>
  <c r="BO15" i="7"/>
  <c r="BO52" i="7" s="1"/>
  <c r="BB87" i="7"/>
  <c r="BA10" i="8" s="1"/>
  <c r="BO23" i="7"/>
  <c r="BO60" i="7" s="1"/>
  <c r="BB95" i="7"/>
  <c r="BA18" i="8" s="1"/>
  <c r="BO16" i="7"/>
  <c r="BO53" i="7" s="1"/>
  <c r="BB88" i="7"/>
  <c r="BA11" i="8" s="1"/>
  <c r="BM108" i="7"/>
  <c r="BL31" i="8" s="1"/>
  <c r="BB81" i="7"/>
  <c r="AV10" i="3" s="1"/>
  <c r="AQ117" i="7"/>
  <c r="AK15" i="3" s="1"/>
  <c r="BW93" i="7"/>
  <c r="AW30" i="8"/>
  <c r="BQ90" i="7"/>
  <c r="BP13" i="8" s="1"/>
  <c r="BR91" i="7"/>
  <c r="BQ14" i="8" s="1"/>
  <c r="BQ15" i="7"/>
  <c r="BQ52" i="7" s="1"/>
  <c r="BD87" i="7"/>
  <c r="BC10" i="8" s="1"/>
  <c r="AS65" i="7"/>
  <c r="AM9" i="3" s="1"/>
  <c r="AM13" i="3" s="1"/>
  <c r="AI53" i="3"/>
  <c r="AI49" i="3"/>
  <c r="BX9" i="7"/>
  <c r="BF12" i="2"/>
  <c r="AY93" i="7"/>
  <c r="AY89" i="7"/>
  <c r="AK65" i="7"/>
  <c r="W53" i="3"/>
  <c r="BL105" i="7"/>
  <c r="BK28" i="8" s="1"/>
  <c r="AY111" i="7"/>
  <c r="AX34" i="8" s="1"/>
  <c r="BN104" i="7"/>
  <c r="BM27" i="8" s="1"/>
  <c r="BK62" i="7"/>
  <c r="BP110" i="7"/>
  <c r="BO33" i="8" s="1"/>
  <c r="BQ35" i="7"/>
  <c r="BD107" i="7"/>
  <c r="BC30" i="8" s="1"/>
  <c r="BR106" i="7"/>
  <c r="BQ29" i="8" s="1"/>
  <c r="BT97" i="7"/>
  <c r="BS20" i="8" s="1"/>
  <c r="BR87" i="7"/>
  <c r="BQ10" i="8" s="1"/>
  <c r="AU117" i="7"/>
  <c r="AO15" i="3" s="1"/>
  <c r="BR89" i="7"/>
  <c r="BQ12" i="8" s="1"/>
  <c r="BV98" i="7"/>
  <c r="BU21" i="8" s="1"/>
  <c r="BS110" i="7"/>
  <c r="BR33" i="8" s="1"/>
  <c r="BO105" i="7"/>
  <c r="BN28" i="8" s="1"/>
  <c r="BV103" i="7"/>
  <c r="BU26" i="8" s="1"/>
  <c r="BQ24" i="7"/>
  <c r="BQ61" i="7" s="1"/>
  <c r="BD96" i="7"/>
  <c r="BC19" i="8" s="1"/>
  <c r="BQ23" i="7"/>
  <c r="BQ60" i="7" s="1"/>
  <c r="BD95" i="7"/>
  <c r="BC18" i="8" s="1"/>
  <c r="AX76" i="7"/>
  <c r="BQ17" i="7"/>
  <c r="BQ54" i="7" s="1"/>
  <c r="BD89" i="7"/>
  <c r="BC12" i="8" s="1"/>
  <c r="BV94" i="7"/>
  <c r="BU17" i="8" s="1"/>
  <c r="BR96" i="7"/>
  <c r="BQ19" i="8" s="1"/>
  <c r="BM112" i="7"/>
  <c r="BL35" i="8" s="1"/>
  <c r="AX93" i="7"/>
  <c r="BT110" i="7"/>
  <c r="BS33" i="8" s="1"/>
  <c r="BF81" i="7"/>
  <c r="AZ10" i="3" s="1"/>
  <c r="BU87" i="7"/>
  <c r="BT10" i="8" s="1"/>
  <c r="BW92" i="7"/>
  <c r="BV15" i="8" s="1"/>
  <c r="BV106" i="7"/>
  <c r="BU29" i="8" s="1"/>
  <c r="BT104" i="7"/>
  <c r="BS27" i="8" s="1"/>
  <c r="BM106" i="7"/>
  <c r="BL29" i="8" s="1"/>
  <c r="BW97" i="7"/>
  <c r="BV20" i="8" s="1"/>
  <c r="BW88" i="7"/>
  <c r="BV11" i="8" s="1"/>
  <c r="BR90" i="7"/>
  <c r="BQ13" i="8" s="1"/>
  <c r="AX105" i="7"/>
  <c r="BU109" i="7"/>
  <c r="BV19" i="7"/>
  <c r="BV56" i="7" s="1"/>
  <c r="BI91" i="7"/>
  <c r="BH14" i="8" s="1"/>
  <c r="BS23" i="7"/>
  <c r="BS60" i="7" s="1"/>
  <c r="BF95" i="7"/>
  <c r="BE18" i="8" s="1"/>
  <c r="AX87" i="7"/>
  <c r="AX95" i="7"/>
  <c r="AW18" i="8"/>
  <c r="BQ98" i="7"/>
  <c r="BP21" i="8" s="1"/>
  <c r="AX96" i="7"/>
  <c r="BR105" i="7"/>
  <c r="BQ28" i="8" s="1"/>
  <c r="BO22" i="7"/>
  <c r="BO59" i="7" s="1"/>
  <c r="BB94" i="7"/>
  <c r="BA17" i="8" s="1"/>
  <c r="BK64" i="7"/>
  <c r="BO111" i="7"/>
  <c r="BN34" i="8" s="1"/>
  <c r="BW104" i="7"/>
  <c r="BV27" i="8" s="1"/>
  <c r="BV96" i="7"/>
  <c r="BU19" i="8" s="1"/>
  <c r="BU111" i="7"/>
  <c r="BT34" i="8" s="1"/>
  <c r="BJ81" i="7"/>
  <c r="BD10" i="3" s="1"/>
  <c r="BG81" i="7"/>
  <c r="BA10" i="3" s="1"/>
  <c r="BR103" i="7"/>
  <c r="BQ26" i="8" s="1"/>
  <c r="BN94" i="7"/>
  <c r="BM17" i="8" s="1"/>
  <c r="BP94" i="7"/>
  <c r="BO17" i="8" s="1"/>
  <c r="AX69" i="7"/>
  <c r="BS93" i="7"/>
  <c r="AW35" i="8"/>
  <c r="BU95" i="7"/>
  <c r="BT18" i="8" s="1"/>
  <c r="BN87" i="7"/>
  <c r="BM10" i="8" s="1"/>
  <c r="BT109" i="7"/>
  <c r="AL81" i="7"/>
  <c r="AF10" i="3" s="1"/>
  <c r="AX68" i="7"/>
  <c r="BS22" i="7"/>
  <c r="BS59" i="7" s="1"/>
  <c r="BF94" i="7"/>
  <c r="BE17" i="8" s="1"/>
  <c r="BS20" i="7"/>
  <c r="BS57" i="7" s="1"/>
  <c r="BF92" i="7"/>
  <c r="BE15" i="8" s="1"/>
  <c r="BW38" i="8"/>
  <c r="BX38" i="8" s="1"/>
  <c r="BK98" i="7"/>
  <c r="BJ21" i="8"/>
  <c r="BM98" i="7"/>
  <c r="BL21" i="8" s="1"/>
  <c r="BW105" i="7"/>
  <c r="BV28" i="8" s="1"/>
  <c r="BT89" i="7"/>
  <c r="BS12" i="8" s="1"/>
  <c r="BV99" i="7"/>
  <c r="BU22" i="8" s="1"/>
  <c r="BN106" i="7"/>
  <c r="BM29" i="8" s="1"/>
  <c r="AX107" i="7"/>
  <c r="BS106" i="7"/>
  <c r="BR29" i="8" s="1"/>
  <c r="BV104" i="7"/>
  <c r="BU27" i="8" s="1"/>
  <c r="BV15" i="7"/>
  <c r="BV52" i="7" s="1"/>
  <c r="BI87" i="7"/>
  <c r="BH10" i="8" s="1"/>
  <c r="AX89" i="7"/>
  <c r="BX27" i="7"/>
  <c r="BY27" i="7" s="1"/>
  <c r="BL99" i="7"/>
  <c r="BK22" i="8" s="1"/>
  <c r="BM104" i="7"/>
  <c r="BL27" i="8" s="1"/>
  <c r="BU96" i="7"/>
  <c r="BT19" i="8" s="1"/>
  <c r="BQ94" i="7"/>
  <c r="BP17" i="8" s="1"/>
  <c r="BK97" i="7"/>
  <c r="BJ20" i="8"/>
  <c r="BX26" i="7"/>
  <c r="BY26" i="7" s="1"/>
  <c r="BL98" i="7"/>
  <c r="BK21" i="8" s="1"/>
  <c r="BL96" i="7"/>
  <c r="BK19" i="8" s="1"/>
  <c r="AY87" i="7"/>
  <c r="AY95" i="7"/>
  <c r="AX18" i="8" s="1"/>
  <c r="AY103" i="7"/>
  <c r="AX26" i="8" s="1"/>
  <c r="BL104" i="7"/>
  <c r="BK27" i="8" s="1"/>
  <c r="AJ26" i="8"/>
  <c r="BA81" i="7"/>
  <c r="AU10" i="3" s="1"/>
  <c r="BU92" i="7"/>
  <c r="BT15" i="8" s="1"/>
  <c r="BP107" i="7"/>
  <c r="BO30" i="8" s="1"/>
  <c r="BP105" i="7"/>
  <c r="BO28" i="8" s="1"/>
  <c r="BU93" i="7"/>
  <c r="BT108" i="7"/>
  <c r="BS31" i="8" s="1"/>
  <c r="BO97" i="7"/>
  <c r="BN20" i="8" s="1"/>
  <c r="BS109" i="7"/>
  <c r="BT99" i="7"/>
  <c r="BS22" i="8" s="1"/>
  <c r="BU32" i="7"/>
  <c r="BU69" i="7" s="1"/>
  <c r="BH104" i="7"/>
  <c r="BG27" i="8" s="1"/>
  <c r="BK69" i="7"/>
  <c r="BT98" i="7"/>
  <c r="BS21" i="8" s="1"/>
  <c r="BM107" i="7"/>
  <c r="BL30" i="8" s="1"/>
  <c r="BS16" i="7"/>
  <c r="BS53" i="7" s="1"/>
  <c r="BF88" i="7"/>
  <c r="BE11" i="8" s="1"/>
  <c r="BM24" i="7"/>
  <c r="BM61" i="7" s="1"/>
  <c r="AZ96" i="7"/>
  <c r="AY19" i="8" s="1"/>
  <c r="BQ20" i="7"/>
  <c r="BQ57" i="7" s="1"/>
  <c r="BD92" i="7"/>
  <c r="BC15" i="8" s="1"/>
  <c r="AX106" i="7"/>
  <c r="AW29" i="8"/>
  <c r="BN93" i="7"/>
  <c r="BS105" i="7"/>
  <c r="BR28" i="8" s="1"/>
  <c r="BU108" i="7"/>
  <c r="BT31" i="8" s="1"/>
  <c r="BQ37" i="7"/>
  <c r="BD109" i="7"/>
  <c r="BK109" i="7" s="1"/>
  <c r="BT112" i="7"/>
  <c r="BS35" i="8" s="1"/>
  <c r="BU91" i="7"/>
  <c r="BT14" i="8" s="1"/>
  <c r="BM89" i="7"/>
  <c r="BL12" i="8" s="1"/>
  <c r="BV108" i="7"/>
  <c r="BU31" i="8" s="1"/>
  <c r="X23" i="8"/>
  <c r="S20" i="3" s="1"/>
  <c r="BV92" i="7"/>
  <c r="BU15" i="8" s="1"/>
  <c r="BO96" i="7"/>
  <c r="BN19" i="8" s="1"/>
  <c r="BM99" i="7"/>
  <c r="BL22" i="8" s="1"/>
  <c r="BV90" i="7"/>
  <c r="BU13" i="8" s="1"/>
  <c r="BU94" i="7"/>
  <c r="BT17" i="8" s="1"/>
  <c r="AZ81" i="7"/>
  <c r="AT10" i="3" s="1"/>
  <c r="BP103" i="7"/>
  <c r="BO26" i="8" s="1"/>
  <c r="BO112" i="7"/>
  <c r="BN35" i="8" s="1"/>
  <c r="BO19" i="7"/>
  <c r="BO56" i="7" s="1"/>
  <c r="BB91" i="7"/>
  <c r="BA14" i="8" s="1"/>
  <c r="AX55" i="7"/>
  <c r="AX114" i="7"/>
  <c r="AW37" i="8"/>
  <c r="BO18" i="7"/>
  <c r="BO55" i="7" s="1"/>
  <c r="BB90" i="7"/>
  <c r="BA13" i="8" s="1"/>
  <c r="AX88" i="7"/>
  <c r="AX56" i="7"/>
  <c r="BP89" i="7"/>
  <c r="BO12" i="8" s="1"/>
  <c r="BK99" i="7"/>
  <c r="BJ22" i="8"/>
  <c r="BS107" i="7"/>
  <c r="BR30" i="8" s="1"/>
  <c r="BM110" i="7"/>
  <c r="BL33" i="8" s="1"/>
  <c r="BS112" i="7"/>
  <c r="BR35" i="8" s="1"/>
  <c r="BT92" i="7"/>
  <c r="BS15" i="8" s="1"/>
  <c r="BM111" i="7"/>
  <c r="BL34" i="8" s="1"/>
  <c r="BM105" i="7"/>
  <c r="BL28" i="8" s="1"/>
  <c r="BV109" i="7"/>
  <c r="BT103" i="7"/>
  <c r="BS26" i="8" s="1"/>
  <c r="BW90" i="7"/>
  <c r="BV13" i="8" s="1"/>
  <c r="AX112" i="7"/>
  <c r="BM95" i="7"/>
  <c r="BL18" i="8" s="1"/>
  <c r="BM20" i="7"/>
  <c r="BM57" i="7" s="1"/>
  <c r="AZ92" i="7"/>
  <c r="AY15" i="8" s="1"/>
  <c r="AX53" i="7"/>
  <c r="BS97" i="7"/>
  <c r="BR20" i="8" s="1"/>
  <c r="BO103" i="7"/>
  <c r="BN26" i="8" s="1"/>
  <c r="BR110" i="7"/>
  <c r="BQ33" i="8" s="1"/>
  <c r="BO99" i="7"/>
  <c r="BN22" i="8" s="1"/>
  <c r="BQ39" i="7"/>
  <c r="BQ76" i="7" s="1"/>
  <c r="BD111" i="7"/>
  <c r="BC34" i="8" s="1"/>
  <c r="BO107" i="7"/>
  <c r="BN30" i="8" s="1"/>
  <c r="BN105" i="7"/>
  <c r="BM28" i="8" s="1"/>
  <c r="BQ99" i="7"/>
  <c r="BP22" i="8" s="1"/>
  <c r="BP109" i="7"/>
  <c r="BT106" i="7"/>
  <c r="BS29" i="8" s="1"/>
  <c r="AQ65" i="7"/>
  <c r="AK9" i="3" s="1"/>
  <c r="BS15" i="7"/>
  <c r="BS52" i="7" s="1"/>
  <c r="BF87" i="7"/>
  <c r="BE10" i="8" s="1"/>
  <c r="AX94" i="7"/>
  <c r="AW17" i="8"/>
  <c r="AY92" i="7"/>
  <c r="AX15" i="8" s="1"/>
  <c r="AY94" i="7"/>
  <c r="AX17" i="8" s="1"/>
  <c r="AY88" i="7"/>
  <c r="BL109" i="7"/>
  <c r="AY106" i="7"/>
  <c r="AX29" i="8" s="1"/>
  <c r="BK71" i="7"/>
  <c r="AK117" i="7"/>
  <c r="BU90" i="7"/>
  <c r="BT13" i="8" s="1"/>
  <c r="AX111" i="7"/>
  <c r="AW34" i="8"/>
  <c r="BV21" i="7"/>
  <c r="BV58" i="7" s="1"/>
  <c r="BI93" i="7"/>
  <c r="BO110" i="7"/>
  <c r="BN33" i="8" s="1"/>
  <c r="BP106" i="7"/>
  <c r="BO29" i="8" s="1"/>
  <c r="BM88" i="7"/>
  <c r="BL11" i="8" s="1"/>
  <c r="BP108" i="7"/>
  <c r="BO31" i="8" s="1"/>
  <c r="BU31" i="7"/>
  <c r="BU68" i="7" s="1"/>
  <c r="BH103" i="7"/>
  <c r="BG26" i="8" s="1"/>
  <c r="BW110" i="7"/>
  <c r="BV33" i="8" s="1"/>
  <c r="BN110" i="7"/>
  <c r="BM33" i="8" s="1"/>
  <c r="BR108" i="7"/>
  <c r="BQ31" i="8" s="1"/>
  <c r="BT91" i="7"/>
  <c r="BS14" i="8" s="1"/>
  <c r="BP88" i="7"/>
  <c r="BO11" i="8" s="1"/>
  <c r="AI54" i="3"/>
  <c r="BX25" i="7"/>
  <c r="BY25" i="7" s="1"/>
  <c r="BL97" i="7"/>
  <c r="BK20" i="8" s="1"/>
  <c r="BK18" i="7"/>
  <c r="BK32" i="7"/>
  <c r="BL110" i="7"/>
  <c r="BK33" i="8" s="1"/>
  <c r="AY114" i="7"/>
  <c r="AX37" i="8" s="1"/>
  <c r="BK79" i="7"/>
  <c r="BL107" i="7"/>
  <c r="BK30" i="8" s="1"/>
  <c r="AY113" i="7"/>
  <c r="AX36" i="8" s="1"/>
  <c r="BQ41" i="7"/>
  <c r="BQ78" i="7" s="1"/>
  <c r="BD113" i="7"/>
  <c r="BC36" i="8" s="1"/>
  <c r="BS108" i="7"/>
  <c r="BR31" i="8" s="1"/>
  <c r="BM97" i="7"/>
  <c r="BL20" i="8" s="1"/>
  <c r="BN90" i="7"/>
  <c r="BM13" i="8" s="1"/>
  <c r="BN107" i="7"/>
  <c r="BM30" i="8" s="1"/>
  <c r="BW108" i="7"/>
  <c r="BV31" i="8" s="1"/>
  <c r="BQ106" i="7"/>
  <c r="BP29" i="8" s="1"/>
  <c r="BE65" i="7"/>
  <c r="AY9" i="3" s="1"/>
  <c r="BW87" i="7"/>
  <c r="BV10" i="8" s="1"/>
  <c r="BN96" i="7"/>
  <c r="BM19" i="8" s="1"/>
  <c r="BU89" i="7"/>
  <c r="BT12" i="8" s="1"/>
  <c r="BR93" i="7"/>
  <c r="BP90" i="7"/>
  <c r="BO13" i="8" s="1"/>
  <c r="BW111" i="7"/>
  <c r="BV34" i="8" s="1"/>
  <c r="BI81" i="7"/>
  <c r="BC10" i="3" s="1"/>
  <c r="BV110" i="7"/>
  <c r="BU33" i="8" s="1"/>
  <c r="AX108" i="7"/>
  <c r="AW31" i="8"/>
  <c r="BU33" i="7"/>
  <c r="BU70" i="7" s="1"/>
  <c r="BH105" i="7"/>
  <c r="BG28" i="8" s="1"/>
  <c r="BV105" i="7"/>
  <c r="BU28" i="8" s="1"/>
  <c r="BN88" i="7"/>
  <c r="BM11" i="8" s="1"/>
  <c r="BO17" i="7"/>
  <c r="BO54" i="7" s="1"/>
  <c r="BB89" i="7"/>
  <c r="BA12" i="8" s="1"/>
  <c r="AK81" i="7"/>
  <c r="BT107" i="7"/>
  <c r="BS30" i="8" s="1"/>
  <c r="BQ108" i="7"/>
  <c r="BP31" i="8" s="1"/>
  <c r="BS103" i="7"/>
  <c r="BR26" i="8" s="1"/>
  <c r="BH65" i="7"/>
  <c r="BB9" i="3" s="1"/>
  <c r="BR92" i="7"/>
  <c r="BQ15" i="8" s="1"/>
  <c r="BW99" i="7"/>
  <c r="BV22" i="8" s="1"/>
  <c r="BR95" i="7"/>
  <c r="BQ18" i="8" s="1"/>
  <c r="BR94" i="7"/>
  <c r="BQ17" i="8" s="1"/>
  <c r="BP91" i="7"/>
  <c r="BO14" i="8" s="1"/>
  <c r="BM93" i="7"/>
  <c r="BQ16" i="7"/>
  <c r="BQ53" i="7" s="1"/>
  <c r="BD88" i="7"/>
  <c r="BC11" i="8" s="1"/>
  <c r="BV17" i="7"/>
  <c r="BV54" i="7" s="1"/>
  <c r="BI89" i="7"/>
  <c r="BH12" i="8" s="1"/>
  <c r="AA53" i="3"/>
  <c r="AX91" i="7"/>
  <c r="AW14" i="8"/>
  <c r="BU88" i="7"/>
  <c r="BT11" i="8" s="1"/>
  <c r="BN109" i="7"/>
  <c r="BQ110" i="7"/>
  <c r="BP33" i="8" s="1"/>
  <c r="BC65" i="7"/>
  <c r="AW9" i="3" s="1"/>
  <c r="BP95" i="7"/>
  <c r="BO18" i="8" s="1"/>
  <c r="BU40" i="7"/>
  <c r="BH112" i="7"/>
  <c r="BG35" i="8" s="1"/>
  <c r="BO104" i="7"/>
  <c r="BN27" i="8" s="1"/>
  <c r="BW103" i="7"/>
  <c r="BV26" i="8" s="1"/>
  <c r="BR104" i="7"/>
  <c r="BQ27" i="8" s="1"/>
  <c r="BE81" i="7"/>
  <c r="AY10" i="3" s="1"/>
  <c r="BN95" i="7"/>
  <c r="BM18" i="8" s="1"/>
  <c r="BO92" i="7"/>
  <c r="BN15" i="8" s="1"/>
  <c r="BS90" i="7"/>
  <c r="BR13" i="8" s="1"/>
  <c r="BA65" i="7"/>
  <c r="AU9" i="3" s="1"/>
  <c r="BM109" i="7"/>
  <c r="AO65" i="7"/>
  <c r="AI9" i="3" s="1"/>
  <c r="BS19" i="7"/>
  <c r="BS56" i="7" s="1"/>
  <c r="BF91" i="7"/>
  <c r="BE14" i="8" s="1"/>
  <c r="AX113" i="7"/>
  <c r="AW36" i="8"/>
  <c r="AX92" i="7"/>
  <c r="AW15" i="8"/>
  <c r="BK63" i="7"/>
  <c r="BV111" i="7"/>
  <c r="BU34" i="8" s="1"/>
  <c r="BR112" i="7"/>
  <c r="BQ35" i="8" s="1"/>
  <c r="AS117" i="7"/>
  <c r="AM15" i="3" s="1"/>
  <c r="BS98" i="7"/>
  <c r="BR21" i="8" s="1"/>
  <c r="BV107" i="7"/>
  <c r="BU30" i="8" s="1"/>
  <c r="BT111" i="7"/>
  <c r="BS34" i="8" s="1"/>
  <c r="BQ33" i="7"/>
  <c r="BQ70" i="7" s="1"/>
  <c r="BD105" i="7"/>
  <c r="BC28" i="8" s="1"/>
  <c r="BT93" i="7"/>
  <c r="BM91" i="7"/>
  <c r="BL14" i="8" s="1"/>
  <c r="BP112" i="7"/>
  <c r="BO35" i="8" s="1"/>
  <c r="BV23" i="7"/>
  <c r="BV60" i="7" s="1"/>
  <c r="BI95" i="7"/>
  <c r="BH18" i="8" s="1"/>
  <c r="AV65" i="7"/>
  <c r="AP9" i="3" s="1"/>
  <c r="AP13" i="3" s="1"/>
  <c r="AM65" i="7"/>
  <c r="AG9" i="3" s="1"/>
  <c r="BQ25" i="11"/>
  <c r="BN25" i="11"/>
  <c r="BO25" i="11"/>
  <c r="BR25" i="11"/>
  <c r="AK41" i="11"/>
  <c r="AR15" i="11"/>
  <c r="AQ15" i="11"/>
  <c r="BM13" i="11"/>
  <c r="AX13" i="11"/>
  <c r="Z13" i="11"/>
  <c r="Y13" i="11"/>
  <c r="AH39" i="8"/>
  <c r="AC21" i="3" s="1"/>
  <c r="BN55" i="11"/>
  <c r="BR55" i="11"/>
  <c r="BM55" i="11"/>
  <c r="K23" i="11"/>
  <c r="L24" i="11"/>
  <c r="L23" i="11" s="1"/>
  <c r="BG9" i="11"/>
  <c r="AI17" i="11"/>
  <c r="AG40" i="3" s="1"/>
  <c r="AJ16" i="8"/>
  <c r="W49" i="3"/>
  <c r="BK34" i="7"/>
  <c r="BL34" i="7"/>
  <c r="BL71" i="7" s="1"/>
  <c r="BK36" i="7"/>
  <c r="BL36" i="7"/>
  <c r="BL73" i="7" s="1"/>
  <c r="BK41" i="7"/>
  <c r="BL41" i="7"/>
  <c r="BL78" i="7" s="1"/>
  <c r="W54" i="3"/>
  <c r="BK31" i="7"/>
  <c r="BL31" i="7"/>
  <c r="BL68" i="7" s="1"/>
  <c r="BK39" i="7"/>
  <c r="BL39" i="7"/>
  <c r="BL76" i="7" s="1"/>
  <c r="BK42" i="7"/>
  <c r="BL42" i="7"/>
  <c r="BL79" i="7" s="1"/>
  <c r="BL20" i="7"/>
  <c r="BL57" i="7" s="1"/>
  <c r="BK20" i="7"/>
  <c r="BK22" i="7"/>
  <c r="BL22" i="7"/>
  <c r="BL59" i="7" s="1"/>
  <c r="BL16" i="7"/>
  <c r="BL53" i="7" s="1"/>
  <c r="BK16" i="7"/>
  <c r="BL19" i="7"/>
  <c r="BL56" i="7" s="1"/>
  <c r="BK19" i="7"/>
  <c r="BK21" i="7"/>
  <c r="BL21" i="7"/>
  <c r="BL58" i="7" s="1"/>
  <c r="BK17" i="7"/>
  <c r="BL17" i="7"/>
  <c r="BL54" i="7" s="1"/>
  <c r="BK15" i="7"/>
  <c r="BL15" i="7"/>
  <c r="BL52" i="7" s="1"/>
  <c r="BL23" i="7"/>
  <c r="BL60" i="7" s="1"/>
  <c r="BK23" i="7"/>
  <c r="N32" i="8"/>
  <c r="R32" i="8"/>
  <c r="V32" i="8"/>
  <c r="M32" i="8"/>
  <c r="K32" i="8"/>
  <c r="O32" i="8"/>
  <c r="S32" i="8"/>
  <c r="Q32" i="8"/>
  <c r="L32" i="8"/>
  <c r="P32" i="8"/>
  <c r="T32" i="8"/>
  <c r="U32" i="8"/>
  <c r="V53" i="3"/>
  <c r="V54" i="3"/>
  <c r="V49" i="3"/>
  <c r="X53" i="3"/>
  <c r="S75" i="6"/>
  <c r="Z49" i="3"/>
  <c r="X49" i="3"/>
  <c r="X54" i="3"/>
  <c r="Z54" i="3"/>
  <c r="Z53" i="3"/>
  <c r="BR52" i="3"/>
  <c r="R76" i="1" s="1"/>
  <c r="AE62" i="3"/>
  <c r="I86" i="1" s="1"/>
  <c r="AE52" i="3"/>
  <c r="I76" i="1" s="1"/>
  <c r="BJ55" i="13"/>
  <c r="J55" i="13"/>
  <c r="BE55" i="13"/>
  <c r="AL79" i="13"/>
  <c r="BC41" i="11"/>
  <c r="BA41" i="11"/>
  <c r="AA37" i="11"/>
  <c r="N35" i="11"/>
  <c r="BN13" i="11"/>
  <c r="Q67" i="16"/>
  <c r="BP25" i="11"/>
  <c r="AY80" i="13"/>
  <c r="AZ8" i="13"/>
  <c r="BB41" i="11"/>
  <c r="AR37" i="11"/>
  <c r="AC37" i="11"/>
  <c r="P35" i="11"/>
  <c r="BQ77" i="13"/>
  <c r="BR62" i="3"/>
  <c r="R86" i="1" s="1"/>
  <c r="AR55" i="13"/>
  <c r="BN98" i="13"/>
  <c r="BE57" i="13"/>
  <c r="AR57" i="13"/>
  <c r="BW12" i="14"/>
  <c r="CC12" i="14" s="1"/>
  <c r="BL79" i="13"/>
  <c r="AC79" i="13"/>
  <c r="BO70" i="13"/>
  <c r="AX70" i="13"/>
  <c r="AF70" i="13"/>
  <c r="O70" i="13"/>
  <c r="BF69" i="13"/>
  <c r="AO69" i="13"/>
  <c r="X69" i="13"/>
  <c r="BR70" i="13"/>
  <c r="BA70" i="13"/>
  <c r="AJ70" i="13"/>
  <c r="R70" i="13"/>
  <c r="BR69" i="13"/>
  <c r="BA69" i="13"/>
  <c r="AJ69" i="13"/>
  <c r="R69" i="13"/>
  <c r="T9" i="11"/>
  <c r="BT72" i="6"/>
  <c r="BT75" i="6" s="1"/>
  <c r="W57" i="13"/>
  <c r="C156" i="16"/>
  <c r="D156" i="16" s="1"/>
  <c r="E102" i="16"/>
  <c r="U80" i="13"/>
  <c r="BC79" i="13"/>
  <c r="U79" i="13"/>
  <c r="BK70" i="13"/>
  <c r="AS70" i="13"/>
  <c r="AB70" i="13"/>
  <c r="K70" i="13"/>
  <c r="BB69" i="13"/>
  <c r="AK69" i="13"/>
  <c r="S69" i="13"/>
  <c r="BN70" i="13"/>
  <c r="AW70" i="13"/>
  <c r="AE70" i="13"/>
  <c r="N70" i="13"/>
  <c r="BN69" i="13"/>
  <c r="AW69" i="13"/>
  <c r="AE69" i="13"/>
  <c r="N69" i="13"/>
  <c r="BH11" i="13"/>
  <c r="AQ24" i="13"/>
  <c r="BQ55" i="11"/>
  <c r="BT37" i="11"/>
  <c r="Y23" i="11"/>
  <c r="Z23" i="11"/>
  <c r="AG9" i="11"/>
  <c r="BT54" i="6"/>
  <c r="BS51" i="3"/>
  <c r="J57" i="13"/>
  <c r="BS75" i="13"/>
  <c r="BJ57" i="13"/>
  <c r="BM90" i="6"/>
  <c r="BI90" i="6"/>
  <c r="BD90" i="6"/>
  <c r="AZ90" i="6"/>
  <c r="AV90" i="6"/>
  <c r="AQ90" i="6"/>
  <c r="AM90" i="6"/>
  <c r="AI90" i="6"/>
  <c r="AD90" i="6"/>
  <c r="Z90" i="6"/>
  <c r="V90" i="6"/>
  <c r="BB90" i="6"/>
  <c r="AX90" i="6"/>
  <c r="AT90" i="6"/>
  <c r="AO90" i="6"/>
  <c r="AK90" i="6"/>
  <c r="AG90" i="6"/>
  <c r="AB90" i="6"/>
  <c r="X90" i="6"/>
  <c r="T90" i="6"/>
  <c r="BA90" i="6"/>
  <c r="AR90" i="6"/>
  <c r="AJ90" i="6"/>
  <c r="AA90" i="6"/>
  <c r="AY90" i="6"/>
  <c r="AP90" i="6"/>
  <c r="AH90" i="6"/>
  <c r="Y90" i="6"/>
  <c r="BE90" i="6"/>
  <c r="AW90" i="6"/>
  <c r="AN90" i="6"/>
  <c r="AE90" i="6"/>
  <c r="W90" i="6"/>
  <c r="AL90" i="6"/>
  <c r="AU90" i="6"/>
  <c r="AC90" i="6"/>
  <c r="BC90" i="6"/>
  <c r="U90" i="6"/>
  <c r="BR46" i="13"/>
  <c r="BA46" i="13"/>
  <c r="AJ46" i="13"/>
  <c r="R46" i="13"/>
  <c r="BJ46" i="13"/>
  <c r="AR46" i="13"/>
  <c r="AA46" i="13"/>
  <c r="J46" i="13"/>
  <c r="BF46" i="13"/>
  <c r="AO46" i="13"/>
  <c r="X46" i="13"/>
  <c r="BO46" i="13"/>
  <c r="AX46" i="13"/>
  <c r="AF46" i="13"/>
  <c r="O46" i="13"/>
  <c r="BS73" i="13"/>
  <c r="E117" i="16"/>
  <c r="AU79" i="13"/>
  <c r="L79" i="13"/>
  <c r="BF70" i="13"/>
  <c r="AO70" i="13"/>
  <c r="X70" i="13"/>
  <c r="BO69" i="13"/>
  <c r="AX69" i="13"/>
  <c r="AF69" i="13"/>
  <c r="O69" i="13"/>
  <c r="BJ70" i="13"/>
  <c r="AR70" i="13"/>
  <c r="AA70" i="13"/>
  <c r="J70" i="13"/>
  <c r="BJ69" i="13"/>
  <c r="AR69" i="13"/>
  <c r="AA69" i="13"/>
  <c r="J69" i="13"/>
  <c r="Z24" i="13"/>
  <c r="T37" i="11"/>
  <c r="BP55" i="11"/>
  <c r="AW13" i="11"/>
  <c r="AW17" i="11" s="1"/>
  <c r="AU40" i="3" s="1"/>
  <c r="AO15" i="11"/>
  <c r="AA57" i="13"/>
  <c r="BS44" i="13"/>
  <c r="BJ49" i="13"/>
  <c r="AA49" i="13"/>
  <c r="AR49" i="13"/>
  <c r="J49" i="13"/>
  <c r="BR49" i="13"/>
  <c r="AJ49" i="13"/>
  <c r="BA49" i="13"/>
  <c r="R49" i="13"/>
  <c r="BJ53" i="13"/>
  <c r="AA53" i="13"/>
  <c r="AR53" i="13"/>
  <c r="J53" i="13"/>
  <c r="AN53" i="13"/>
  <c r="BE53" i="13"/>
  <c r="W53" i="13"/>
  <c r="BM25" i="11"/>
  <c r="R62" i="3"/>
  <c r="F86" i="1" s="1"/>
  <c r="AR62" i="3"/>
  <c r="L86" i="1" s="1"/>
  <c r="T41" i="11"/>
  <c r="BG29" i="11"/>
  <c r="AG43" i="11"/>
  <c r="I45" i="11"/>
  <c r="BJ31" i="11"/>
  <c r="BH25" i="3" s="1"/>
  <c r="AU17" i="11"/>
  <c r="AS40" i="3" s="1"/>
  <c r="AG57" i="11"/>
  <c r="I59" i="11"/>
  <c r="AW59" i="11"/>
  <c r="T55" i="11"/>
  <c r="AV59" i="11"/>
  <c r="AJ59" i="11"/>
  <c r="U97" i="6"/>
  <c r="AP97" i="6"/>
  <c r="AC97" i="6"/>
  <c r="BF53" i="6"/>
  <c r="AF53" i="6"/>
  <c r="I111" i="16"/>
  <c r="R70" i="16"/>
  <c r="Q70" i="16"/>
  <c r="E87" i="16"/>
  <c r="K67" i="16"/>
  <c r="L67" i="16"/>
  <c r="U67" i="16"/>
  <c r="AA67" i="16" s="1"/>
  <c r="K60" i="16"/>
  <c r="U60" i="16"/>
  <c r="AA60" i="16" s="1"/>
  <c r="L60" i="16"/>
  <c r="E84" i="16"/>
  <c r="O66" i="16"/>
  <c r="P66" i="16" s="1"/>
  <c r="J66" i="16"/>
  <c r="E99" i="16"/>
  <c r="S67" i="16"/>
  <c r="L28" i="16"/>
  <c r="N28" i="16" s="1"/>
  <c r="E86" i="16"/>
  <c r="I84" i="16"/>
  <c r="R43" i="16"/>
  <c r="Q43" i="16"/>
  <c r="K53" i="16"/>
  <c r="U53" i="16"/>
  <c r="AA53" i="16" s="1"/>
  <c r="L53" i="16"/>
  <c r="E111" i="16"/>
  <c r="E118" i="16"/>
  <c r="E106" i="16"/>
  <c r="C155" i="16"/>
  <c r="D155" i="16" s="1"/>
  <c r="O62" i="16"/>
  <c r="P62" i="16" s="1"/>
  <c r="J62" i="16"/>
  <c r="E95" i="16"/>
  <c r="E83" i="16"/>
  <c r="E112" i="16"/>
  <c r="O63" i="16"/>
  <c r="P63" i="16" s="1"/>
  <c r="J63" i="16"/>
  <c r="U59" i="16"/>
  <c r="AA59" i="16" s="1"/>
  <c r="L59" i="16"/>
  <c r="K59" i="16"/>
  <c r="E92" i="16"/>
  <c r="R76" i="16"/>
  <c r="I117" i="16"/>
  <c r="Q76" i="16"/>
  <c r="E107" i="16"/>
  <c r="E96" i="16"/>
  <c r="Q75" i="16"/>
  <c r="I116" i="16"/>
  <c r="R75" i="16"/>
  <c r="E105" i="16"/>
  <c r="S52" i="16"/>
  <c r="L13" i="16"/>
  <c r="N13" i="16" s="1"/>
  <c r="L20" i="16"/>
  <c r="N20" i="16" s="1"/>
  <c r="S59" i="16"/>
  <c r="S57" i="16"/>
  <c r="L18" i="16"/>
  <c r="N18" i="16" s="1"/>
  <c r="I92" i="16"/>
  <c r="Q51" i="16"/>
  <c r="R51" i="16"/>
  <c r="S60" i="16"/>
  <c r="L21" i="16"/>
  <c r="N21" i="16" s="1"/>
  <c r="E93" i="16"/>
  <c r="K46" i="16"/>
  <c r="L46" i="16"/>
  <c r="U46" i="16"/>
  <c r="AA46" i="16" s="1"/>
  <c r="O44" i="16"/>
  <c r="P44" i="16" s="1"/>
  <c r="J44" i="16"/>
  <c r="L64" i="16"/>
  <c r="K64" i="16"/>
  <c r="U64" i="16"/>
  <c r="AA64" i="16" s="1"/>
  <c r="S49" i="16"/>
  <c r="L10" i="16"/>
  <c r="N10" i="16" s="1"/>
  <c r="O48" i="16"/>
  <c r="P48" i="16" s="1"/>
  <c r="J48" i="16"/>
  <c r="D12" i="14"/>
  <c r="BS104" i="13"/>
  <c r="BO104" i="13"/>
  <c r="BK104" i="13"/>
  <c r="BF104" i="13"/>
  <c r="BB104" i="13"/>
  <c r="AX104" i="13"/>
  <c r="AS104" i="13"/>
  <c r="AO104" i="13"/>
  <c r="AK104" i="13"/>
  <c r="AF104" i="13"/>
  <c r="AB104" i="13"/>
  <c r="X104" i="13"/>
  <c r="S104" i="13"/>
  <c r="O104" i="13"/>
  <c r="K104" i="13"/>
  <c r="BR104" i="13"/>
  <c r="BN104" i="13"/>
  <c r="BJ104" i="13"/>
  <c r="BE104" i="13"/>
  <c r="BA104" i="13"/>
  <c r="AW104" i="13"/>
  <c r="AR104" i="13"/>
  <c r="AN104" i="13"/>
  <c r="AJ104" i="13"/>
  <c r="AE104" i="13"/>
  <c r="AA104" i="13"/>
  <c r="W104" i="13"/>
  <c r="R104" i="13"/>
  <c r="N104" i="13"/>
  <c r="J104" i="13"/>
  <c r="BQ104" i="13"/>
  <c r="BM104" i="13"/>
  <c r="BI104" i="13"/>
  <c r="BD104" i="13"/>
  <c r="AZ104" i="13"/>
  <c r="AV104" i="13"/>
  <c r="AQ104" i="13"/>
  <c r="AM104" i="13"/>
  <c r="AI104" i="13"/>
  <c r="AD104" i="13"/>
  <c r="Z104" i="13"/>
  <c r="V104" i="13"/>
  <c r="Q104" i="13"/>
  <c r="M104" i="13"/>
  <c r="I104" i="13"/>
  <c r="BP104" i="13"/>
  <c r="BL104" i="13"/>
  <c r="BH104" i="13"/>
  <c r="BC104" i="13"/>
  <c r="AY104" i="13"/>
  <c r="AU104" i="13"/>
  <c r="AP104" i="13"/>
  <c r="AL104" i="13"/>
  <c r="AH104" i="13"/>
  <c r="AC104" i="13"/>
  <c r="Y104" i="13"/>
  <c r="U104" i="13"/>
  <c r="P104" i="13"/>
  <c r="L104" i="13"/>
  <c r="H104" i="13"/>
  <c r="BS97" i="13"/>
  <c r="BP97" i="13"/>
  <c r="BL97" i="13"/>
  <c r="BH97" i="13"/>
  <c r="BC97" i="13"/>
  <c r="AY97" i="13"/>
  <c r="AU97" i="13"/>
  <c r="AP97" i="13"/>
  <c r="AL97" i="13"/>
  <c r="AH97" i="13"/>
  <c r="AC97" i="13"/>
  <c r="Y97" i="13"/>
  <c r="U97" i="13"/>
  <c r="P97" i="13"/>
  <c r="L97" i="13"/>
  <c r="H97" i="13"/>
  <c r="BO97" i="13"/>
  <c r="BK97" i="13"/>
  <c r="BF97" i="13"/>
  <c r="BB97" i="13"/>
  <c r="AX97" i="13"/>
  <c r="AS97" i="13"/>
  <c r="AO97" i="13"/>
  <c r="AK97" i="13"/>
  <c r="AF97" i="13"/>
  <c r="AB97" i="13"/>
  <c r="X97" i="13"/>
  <c r="S97" i="13"/>
  <c r="O97" i="13"/>
  <c r="K97" i="13"/>
  <c r="BR97" i="13"/>
  <c r="BN97" i="13"/>
  <c r="BJ97" i="13"/>
  <c r="BE97" i="13"/>
  <c r="BA97" i="13"/>
  <c r="AW97" i="13"/>
  <c r="AR97" i="13"/>
  <c r="AN97" i="13"/>
  <c r="AJ97" i="13"/>
  <c r="AE97" i="13"/>
  <c r="AA97" i="13"/>
  <c r="W97" i="13"/>
  <c r="R97" i="13"/>
  <c r="N97" i="13"/>
  <c r="J97" i="13"/>
  <c r="BQ97" i="13"/>
  <c r="BM97" i="13"/>
  <c r="BI97" i="13"/>
  <c r="BD97" i="13"/>
  <c r="AZ97" i="13"/>
  <c r="AV97" i="13"/>
  <c r="AQ97" i="13"/>
  <c r="AM97" i="13"/>
  <c r="AI97" i="13"/>
  <c r="AD97" i="13"/>
  <c r="Z97" i="13"/>
  <c r="V97" i="13"/>
  <c r="Q97" i="13"/>
  <c r="M97" i="13"/>
  <c r="I97" i="13"/>
  <c r="BP93" i="13"/>
  <c r="BL93" i="13"/>
  <c r="BH93" i="13"/>
  <c r="BC93" i="13"/>
  <c r="AY93" i="13"/>
  <c r="AU93" i="13"/>
  <c r="AP93" i="13"/>
  <c r="AL93" i="13"/>
  <c r="AH93" i="13"/>
  <c r="AC93" i="13"/>
  <c r="Y93" i="13"/>
  <c r="U93" i="13"/>
  <c r="P93" i="13"/>
  <c r="L93" i="13"/>
  <c r="H93" i="13"/>
  <c r="BS93" i="13"/>
  <c r="BO93" i="13"/>
  <c r="BK93" i="13"/>
  <c r="BF93" i="13"/>
  <c r="BB93" i="13"/>
  <c r="AX93" i="13"/>
  <c r="AS93" i="13"/>
  <c r="AO93" i="13"/>
  <c r="AK93" i="13"/>
  <c r="AF93" i="13"/>
  <c r="AB93" i="13"/>
  <c r="X93" i="13"/>
  <c r="S93" i="13"/>
  <c r="O93" i="13"/>
  <c r="K93" i="13"/>
  <c r="BR93" i="13"/>
  <c r="BN93" i="13"/>
  <c r="BJ93" i="13"/>
  <c r="BE93" i="13"/>
  <c r="BA93" i="13"/>
  <c r="AW93" i="13"/>
  <c r="AR93" i="13"/>
  <c r="AN93" i="13"/>
  <c r="AJ93" i="13"/>
  <c r="AE93" i="13"/>
  <c r="AA93" i="13"/>
  <c r="W93" i="13"/>
  <c r="R93" i="13"/>
  <c r="N93" i="13"/>
  <c r="J93" i="13"/>
  <c r="BQ93" i="13"/>
  <c r="BM93" i="13"/>
  <c r="BI93" i="13"/>
  <c r="BD93" i="13"/>
  <c r="AZ93" i="13"/>
  <c r="AV93" i="13"/>
  <c r="AQ93" i="13"/>
  <c r="AM93" i="13"/>
  <c r="AI93" i="13"/>
  <c r="AD93" i="13"/>
  <c r="Z93" i="13"/>
  <c r="V93" i="13"/>
  <c r="Q93" i="13"/>
  <c r="M93" i="13"/>
  <c r="I93" i="13"/>
  <c r="BP89" i="13"/>
  <c r="BL89" i="13"/>
  <c r="BH89" i="13"/>
  <c r="BC89" i="13"/>
  <c r="AY89" i="13"/>
  <c r="AU89" i="13"/>
  <c r="AP89" i="13"/>
  <c r="AL89" i="13"/>
  <c r="AH89" i="13"/>
  <c r="AC89" i="13"/>
  <c r="Y89" i="13"/>
  <c r="U89" i="13"/>
  <c r="P89" i="13"/>
  <c r="L89" i="13"/>
  <c r="H89" i="13"/>
  <c r="BS89" i="13"/>
  <c r="BO89" i="13"/>
  <c r="BK89" i="13"/>
  <c r="BF89" i="13"/>
  <c r="BB89" i="13"/>
  <c r="AX89" i="13"/>
  <c r="AS89" i="13"/>
  <c r="AO89" i="13"/>
  <c r="AK89" i="13"/>
  <c r="AF89" i="13"/>
  <c r="AB89" i="13"/>
  <c r="X89" i="13"/>
  <c r="S89" i="13"/>
  <c r="O89" i="13"/>
  <c r="K89" i="13"/>
  <c r="BR89" i="13"/>
  <c r="BN89" i="13"/>
  <c r="BJ89" i="13"/>
  <c r="BE89" i="13"/>
  <c r="BA89" i="13"/>
  <c r="AW89" i="13"/>
  <c r="AR89" i="13"/>
  <c r="AN89" i="13"/>
  <c r="AJ89" i="13"/>
  <c r="AE89" i="13"/>
  <c r="AA89" i="13"/>
  <c r="W89" i="13"/>
  <c r="R89" i="13"/>
  <c r="N89" i="13"/>
  <c r="J89" i="13"/>
  <c r="BQ89" i="13"/>
  <c r="BM89" i="13"/>
  <c r="BI89" i="13"/>
  <c r="BD89" i="13"/>
  <c r="AZ89" i="13"/>
  <c r="AV89" i="13"/>
  <c r="AQ89" i="13"/>
  <c r="AM89" i="13"/>
  <c r="AI89" i="13"/>
  <c r="AD89" i="13"/>
  <c r="Z89" i="13"/>
  <c r="V89" i="13"/>
  <c r="Q89" i="13"/>
  <c r="M89" i="13"/>
  <c r="I89" i="13"/>
  <c r="BP85" i="13"/>
  <c r="BL85" i="13"/>
  <c r="BH85" i="13"/>
  <c r="BC85" i="13"/>
  <c r="AY85" i="13"/>
  <c r="AU85" i="13"/>
  <c r="AP85" i="13"/>
  <c r="AL85" i="13"/>
  <c r="AH85" i="13"/>
  <c r="AC85" i="13"/>
  <c r="Y85" i="13"/>
  <c r="U85" i="13"/>
  <c r="P85" i="13"/>
  <c r="L85" i="13"/>
  <c r="H85" i="13"/>
  <c r="BS85" i="13"/>
  <c r="BO85" i="13"/>
  <c r="BK85" i="13"/>
  <c r="BF85" i="13"/>
  <c r="BB85" i="13"/>
  <c r="AX85" i="13"/>
  <c r="AS85" i="13"/>
  <c r="AO85" i="13"/>
  <c r="AK85" i="13"/>
  <c r="AF85" i="13"/>
  <c r="AB85" i="13"/>
  <c r="X85" i="13"/>
  <c r="S85" i="13"/>
  <c r="O85" i="13"/>
  <c r="K85" i="13"/>
  <c r="BR85" i="13"/>
  <c r="BN85" i="13"/>
  <c r="BJ85" i="13"/>
  <c r="BE85" i="13"/>
  <c r="BA85" i="13"/>
  <c r="AW85" i="13"/>
  <c r="AR85" i="13"/>
  <c r="AN85" i="13"/>
  <c r="AJ85" i="13"/>
  <c r="AE85" i="13"/>
  <c r="AA85" i="13"/>
  <c r="W85" i="13"/>
  <c r="R85" i="13"/>
  <c r="N85" i="13"/>
  <c r="J85" i="13"/>
  <c r="BQ85" i="13"/>
  <c r="BM85" i="13"/>
  <c r="BI85" i="13"/>
  <c r="BD85" i="13"/>
  <c r="AZ85" i="13"/>
  <c r="AV85" i="13"/>
  <c r="AQ85" i="13"/>
  <c r="AM85" i="13"/>
  <c r="AI85" i="13"/>
  <c r="AD85" i="13"/>
  <c r="Z85" i="13"/>
  <c r="V85" i="13"/>
  <c r="Q85" i="13"/>
  <c r="M85" i="13"/>
  <c r="I85" i="13"/>
  <c r="BP81" i="13"/>
  <c r="BL81" i="13"/>
  <c r="BH81" i="13"/>
  <c r="BC81" i="13"/>
  <c r="AY81" i="13"/>
  <c r="AU81" i="13"/>
  <c r="AP81" i="13"/>
  <c r="AL81" i="13"/>
  <c r="AH81" i="13"/>
  <c r="AC81" i="13"/>
  <c r="Y81" i="13"/>
  <c r="U81" i="13"/>
  <c r="P81" i="13"/>
  <c r="L81" i="13"/>
  <c r="H81" i="13"/>
  <c r="BS81" i="13"/>
  <c r="BO81" i="13"/>
  <c r="BK81" i="13"/>
  <c r="BF81" i="13"/>
  <c r="BB81" i="13"/>
  <c r="AX81" i="13"/>
  <c r="AS81" i="13"/>
  <c r="AO81" i="13"/>
  <c r="AK81" i="13"/>
  <c r="AF81" i="13"/>
  <c r="AB81" i="13"/>
  <c r="X81" i="13"/>
  <c r="S81" i="13"/>
  <c r="O81" i="13"/>
  <c r="K81" i="13"/>
  <c r="BR81" i="13"/>
  <c r="BN81" i="13"/>
  <c r="BJ81" i="13"/>
  <c r="BE81" i="13"/>
  <c r="BA81" i="13"/>
  <c r="AW81" i="13"/>
  <c r="AR81" i="13"/>
  <c r="AN81" i="13"/>
  <c r="AJ81" i="13"/>
  <c r="AE81" i="13"/>
  <c r="AA81" i="13"/>
  <c r="W81" i="13"/>
  <c r="R81" i="13"/>
  <c r="N81" i="13"/>
  <c r="J81" i="13"/>
  <c r="BQ81" i="13"/>
  <c r="BM81" i="13"/>
  <c r="BI81" i="13"/>
  <c r="BD81" i="13"/>
  <c r="AZ81" i="13"/>
  <c r="AV81" i="13"/>
  <c r="AQ81" i="13"/>
  <c r="AM81" i="13"/>
  <c r="AI81" i="13"/>
  <c r="AD81" i="13"/>
  <c r="Z81" i="13"/>
  <c r="V81" i="13"/>
  <c r="Q81" i="13"/>
  <c r="M81" i="13"/>
  <c r="I81" i="13"/>
  <c r="L80" i="13"/>
  <c r="BS78" i="13"/>
  <c r="BO78" i="13"/>
  <c r="BK78" i="13"/>
  <c r="BF78" i="13"/>
  <c r="BB78" i="13"/>
  <c r="AX78" i="13"/>
  <c r="AS78" i="13"/>
  <c r="BR78" i="13"/>
  <c r="BN78" i="13"/>
  <c r="BJ78" i="13"/>
  <c r="BE78" i="13"/>
  <c r="BA78" i="13"/>
  <c r="AW78" i="13"/>
  <c r="AR78" i="13"/>
  <c r="AN78" i="13"/>
  <c r="AJ78" i="13"/>
  <c r="AE78" i="13"/>
  <c r="AA78" i="13"/>
  <c r="W78" i="13"/>
  <c r="R78" i="13"/>
  <c r="N78" i="13"/>
  <c r="J78" i="13"/>
  <c r="BL78" i="13"/>
  <c r="BC78" i="13"/>
  <c r="AU78" i="13"/>
  <c r="AM78" i="13"/>
  <c r="AH78" i="13"/>
  <c r="AB78" i="13"/>
  <c r="V78" i="13"/>
  <c r="P78" i="13"/>
  <c r="K78" i="13"/>
  <c r="BQ78" i="13"/>
  <c r="BI78" i="13"/>
  <c r="AZ78" i="13"/>
  <c r="AQ78" i="13"/>
  <c r="AL78" i="13"/>
  <c r="AF78" i="13"/>
  <c r="Z78" i="13"/>
  <c r="U78" i="13"/>
  <c r="O78" i="13"/>
  <c r="I78" i="13"/>
  <c r="BP78" i="13"/>
  <c r="BH78" i="13"/>
  <c r="AY78" i="13"/>
  <c r="AP78" i="13"/>
  <c r="AK78" i="13"/>
  <c r="AD78" i="13"/>
  <c r="Y78" i="13"/>
  <c r="S78" i="13"/>
  <c r="M78" i="13"/>
  <c r="H78" i="13"/>
  <c r="BM78" i="13"/>
  <c r="BD78" i="13"/>
  <c r="AV78" i="13"/>
  <c r="AO78" i="13"/>
  <c r="AI78" i="13"/>
  <c r="AC78" i="13"/>
  <c r="X78" i="13"/>
  <c r="Q78" i="13"/>
  <c r="L78" i="13"/>
  <c r="BD70" i="13"/>
  <c r="AM70" i="13"/>
  <c r="V70" i="13"/>
  <c r="BQ69" i="13"/>
  <c r="AZ69" i="13"/>
  <c r="AI69" i="13"/>
  <c r="Q69" i="13"/>
  <c r="V80" i="13"/>
  <c r="AI80" i="13"/>
  <c r="AZ80" i="13"/>
  <c r="BQ80" i="13"/>
  <c r="W80" i="13"/>
  <c r="AN80" i="13"/>
  <c r="BE80" i="13"/>
  <c r="K80" i="13"/>
  <c r="AB80" i="13"/>
  <c r="AS80" i="13"/>
  <c r="BK80" i="13"/>
  <c r="BD79" i="13"/>
  <c r="V79" i="13"/>
  <c r="R79" i="13"/>
  <c r="AJ79" i="13"/>
  <c r="BA79" i="13"/>
  <c r="BR79" i="13"/>
  <c r="X79" i="13"/>
  <c r="AO79" i="13"/>
  <c r="BF79" i="13"/>
  <c r="BC70" i="13"/>
  <c r="AL70" i="13"/>
  <c r="U70" i="13"/>
  <c r="BP69" i="13"/>
  <c r="AY69" i="13"/>
  <c r="AH69" i="13"/>
  <c r="P69" i="13"/>
  <c r="BI68" i="13"/>
  <c r="BQ66" i="13"/>
  <c r="BS65" i="13"/>
  <c r="BO65" i="13"/>
  <c r="BK65" i="13"/>
  <c r="BF65" i="13"/>
  <c r="BB65" i="13"/>
  <c r="AX65" i="13"/>
  <c r="AS65" i="13"/>
  <c r="AO65" i="13"/>
  <c r="AK65" i="13"/>
  <c r="AF65" i="13"/>
  <c r="AB65" i="13"/>
  <c r="X65" i="13"/>
  <c r="S65" i="13"/>
  <c r="O65" i="13"/>
  <c r="K65" i="13"/>
  <c r="BR65" i="13"/>
  <c r="BN65" i="13"/>
  <c r="BJ65" i="13"/>
  <c r="BE65" i="13"/>
  <c r="BA65" i="13"/>
  <c r="AW65" i="13"/>
  <c r="AR65" i="13"/>
  <c r="AN65" i="13"/>
  <c r="AJ65" i="13"/>
  <c r="AE65" i="13"/>
  <c r="AA65" i="13"/>
  <c r="W65" i="13"/>
  <c r="R65" i="13"/>
  <c r="N65" i="13"/>
  <c r="J65" i="13"/>
  <c r="BP65" i="13"/>
  <c r="BL65" i="13"/>
  <c r="BH65" i="13"/>
  <c r="BC65" i="13"/>
  <c r="AY65" i="13"/>
  <c r="AU65" i="13"/>
  <c r="AP65" i="13"/>
  <c r="BD65" i="13"/>
  <c r="AM65" i="13"/>
  <c r="AD65" i="13"/>
  <c r="V65" i="13"/>
  <c r="M65" i="13"/>
  <c r="BQ65" i="13"/>
  <c r="AZ65" i="13"/>
  <c r="AL65" i="13"/>
  <c r="AC65" i="13"/>
  <c r="U65" i="13"/>
  <c r="L65" i="13"/>
  <c r="BI65" i="13"/>
  <c r="AQ65" i="13"/>
  <c r="AH65" i="13"/>
  <c r="Y65" i="13"/>
  <c r="P65" i="13"/>
  <c r="H65" i="13"/>
  <c r="AV65" i="13"/>
  <c r="I65" i="13"/>
  <c r="AI65" i="13"/>
  <c r="Z65" i="13"/>
  <c r="BM65" i="13"/>
  <c r="Q65" i="13"/>
  <c r="V68" i="13"/>
  <c r="U68" i="13"/>
  <c r="AL68" i="13"/>
  <c r="BC68" i="13"/>
  <c r="J68" i="13"/>
  <c r="AA68" i="13"/>
  <c r="AR68" i="13"/>
  <c r="BJ68" i="13"/>
  <c r="O68" i="13"/>
  <c r="AF68" i="13"/>
  <c r="AX68" i="13"/>
  <c r="BO68" i="13"/>
  <c r="AV68" i="13"/>
  <c r="AM66" i="13"/>
  <c r="P66" i="13"/>
  <c r="AH66" i="13"/>
  <c r="AY66" i="13"/>
  <c r="BP66" i="13"/>
  <c r="W66" i="13"/>
  <c r="AN66" i="13"/>
  <c r="BE66" i="13"/>
  <c r="K66" i="13"/>
  <c r="AB66" i="13"/>
  <c r="AS66" i="13"/>
  <c r="BS63" i="13"/>
  <c r="BO63" i="13"/>
  <c r="BK63" i="13"/>
  <c r="BF63" i="13"/>
  <c r="BB63" i="13"/>
  <c r="AX63" i="13"/>
  <c r="AS63" i="13"/>
  <c r="AO63" i="13"/>
  <c r="AK63" i="13"/>
  <c r="AF63" i="13"/>
  <c r="AB63" i="13"/>
  <c r="X63" i="13"/>
  <c r="S63" i="13"/>
  <c r="O63" i="13"/>
  <c r="K63" i="13"/>
  <c r="BN63" i="13"/>
  <c r="BI63" i="13"/>
  <c r="BC63" i="13"/>
  <c r="AW63" i="13"/>
  <c r="AQ63" i="13"/>
  <c r="AL63" i="13"/>
  <c r="AE63" i="13"/>
  <c r="Z63" i="13"/>
  <c r="U63" i="13"/>
  <c r="N63" i="13"/>
  <c r="I63" i="13"/>
  <c r="BR63" i="13"/>
  <c r="BM63" i="13"/>
  <c r="BH63" i="13"/>
  <c r="BA63" i="13"/>
  <c r="AV63" i="13"/>
  <c r="AP63" i="13"/>
  <c r="AJ63" i="13"/>
  <c r="AD63" i="13"/>
  <c r="Y63" i="13"/>
  <c r="R63" i="13"/>
  <c r="M63" i="13"/>
  <c r="H63" i="13"/>
  <c r="BP63" i="13"/>
  <c r="BJ63" i="13"/>
  <c r="BD63" i="13"/>
  <c r="AY63" i="13"/>
  <c r="AR63" i="13"/>
  <c r="AM63" i="13"/>
  <c r="AH63" i="13"/>
  <c r="AA63" i="13"/>
  <c r="V63" i="13"/>
  <c r="P63" i="13"/>
  <c r="J63" i="13"/>
  <c r="BE63" i="13"/>
  <c r="AI63" i="13"/>
  <c r="L63" i="13"/>
  <c r="AZ63" i="13"/>
  <c r="AC63" i="13"/>
  <c r="BQ63" i="13"/>
  <c r="AU63" i="13"/>
  <c r="W63" i="13"/>
  <c r="BL63" i="13"/>
  <c r="AN63" i="13"/>
  <c r="Q63" i="13"/>
  <c r="BS59" i="13"/>
  <c r="BO59" i="13"/>
  <c r="BK59" i="13"/>
  <c r="BF59" i="13"/>
  <c r="BB59" i="13"/>
  <c r="AX59" i="13"/>
  <c r="AS59" i="13"/>
  <c r="AO59" i="13"/>
  <c r="AK59" i="13"/>
  <c r="AF59" i="13"/>
  <c r="AB59" i="13"/>
  <c r="X59" i="13"/>
  <c r="S59" i="13"/>
  <c r="O59" i="13"/>
  <c r="K59" i="13"/>
  <c r="BN59" i="13"/>
  <c r="BI59" i="13"/>
  <c r="BC59" i="13"/>
  <c r="AW59" i="13"/>
  <c r="AQ59" i="13"/>
  <c r="AL59" i="13"/>
  <c r="AE59" i="13"/>
  <c r="Z59" i="13"/>
  <c r="U59" i="13"/>
  <c r="N59" i="13"/>
  <c r="I59" i="13"/>
  <c r="BR59" i="13"/>
  <c r="BM59" i="13"/>
  <c r="BH59" i="13"/>
  <c r="BA59" i="13"/>
  <c r="AV59" i="13"/>
  <c r="AP59" i="13"/>
  <c r="AJ59" i="13"/>
  <c r="AD59" i="13"/>
  <c r="Y59" i="13"/>
  <c r="R59" i="13"/>
  <c r="M59" i="13"/>
  <c r="H59" i="13"/>
  <c r="BP59" i="13"/>
  <c r="BJ59" i="13"/>
  <c r="BD59" i="13"/>
  <c r="AY59" i="13"/>
  <c r="AR59" i="13"/>
  <c r="AM59" i="13"/>
  <c r="AH59" i="13"/>
  <c r="AA59" i="13"/>
  <c r="V59" i="13"/>
  <c r="P59" i="13"/>
  <c r="J59" i="13"/>
  <c r="BE59" i="13"/>
  <c r="AI59" i="13"/>
  <c r="L59" i="13"/>
  <c r="AZ59" i="13"/>
  <c r="AC59" i="13"/>
  <c r="BQ59" i="13"/>
  <c r="AU59" i="13"/>
  <c r="W59" i="13"/>
  <c r="BL59" i="13"/>
  <c r="AN59" i="13"/>
  <c r="Q59" i="13"/>
  <c r="BQ42" i="13"/>
  <c r="BM42" i="13"/>
  <c r="BO42" i="13"/>
  <c r="BJ42" i="13"/>
  <c r="BE42" i="13"/>
  <c r="BA42" i="13"/>
  <c r="AW42" i="13"/>
  <c r="AR42" i="13"/>
  <c r="AN42" i="13"/>
  <c r="AJ42" i="13"/>
  <c r="AE42" i="13"/>
  <c r="AA42" i="13"/>
  <c r="W42" i="13"/>
  <c r="R42" i="13"/>
  <c r="N42" i="13"/>
  <c r="J42" i="13"/>
  <c r="BS42" i="13"/>
  <c r="BN42" i="13"/>
  <c r="BI42" i="13"/>
  <c r="BD42" i="13"/>
  <c r="AZ42" i="13"/>
  <c r="AV42" i="13"/>
  <c r="AQ42" i="13"/>
  <c r="AM42" i="13"/>
  <c r="AI42" i="13"/>
  <c r="AD42" i="13"/>
  <c r="Z42" i="13"/>
  <c r="V42" i="13"/>
  <c r="Q42" i="13"/>
  <c r="M42" i="13"/>
  <c r="I42" i="13"/>
  <c r="BR42" i="13"/>
  <c r="BL42" i="13"/>
  <c r="BH42" i="13"/>
  <c r="BC42" i="13"/>
  <c r="AY42" i="13"/>
  <c r="AU42" i="13"/>
  <c r="AP42" i="13"/>
  <c r="AL42" i="13"/>
  <c r="AH42" i="13"/>
  <c r="AC42" i="13"/>
  <c r="Y42" i="13"/>
  <c r="U42" i="13"/>
  <c r="P42" i="13"/>
  <c r="L42" i="13"/>
  <c r="H42" i="13"/>
  <c r="BP42" i="13"/>
  <c r="BK42" i="13"/>
  <c r="BF42" i="13"/>
  <c r="BB42" i="13"/>
  <c r="AX42" i="13"/>
  <c r="AS42" i="13"/>
  <c r="AO42" i="13"/>
  <c r="AK42" i="13"/>
  <c r="AF42" i="13"/>
  <c r="AB42" i="13"/>
  <c r="X42" i="13"/>
  <c r="S42" i="13"/>
  <c r="O42" i="13"/>
  <c r="K42" i="13"/>
  <c r="BR38" i="13"/>
  <c r="BN38" i="13"/>
  <c r="BJ38" i="13"/>
  <c r="BE38" i="13"/>
  <c r="BA38" i="13"/>
  <c r="AW38" i="13"/>
  <c r="AR38" i="13"/>
  <c r="AN38" i="13"/>
  <c r="AJ38" i="13"/>
  <c r="AE38" i="13"/>
  <c r="AA38" i="13"/>
  <c r="W38" i="13"/>
  <c r="R38" i="13"/>
  <c r="N38" i="13"/>
  <c r="J38" i="13"/>
  <c r="BQ38" i="13"/>
  <c r="BM38" i="13"/>
  <c r="BI38" i="13"/>
  <c r="BD38" i="13"/>
  <c r="AZ38" i="13"/>
  <c r="AV38" i="13"/>
  <c r="AQ38" i="13"/>
  <c r="AM38" i="13"/>
  <c r="AI38" i="13"/>
  <c r="AD38" i="13"/>
  <c r="Z38" i="13"/>
  <c r="V38" i="13"/>
  <c r="Q38" i="13"/>
  <c r="M38" i="13"/>
  <c r="I38" i="13"/>
  <c r="BP38" i="13"/>
  <c r="BL38" i="13"/>
  <c r="BH38" i="13"/>
  <c r="BC38" i="13"/>
  <c r="AY38" i="13"/>
  <c r="AU38" i="13"/>
  <c r="AP38" i="13"/>
  <c r="AL38" i="13"/>
  <c r="AH38" i="13"/>
  <c r="AC38" i="13"/>
  <c r="Y38" i="13"/>
  <c r="U38" i="13"/>
  <c r="P38" i="13"/>
  <c r="L38" i="13"/>
  <c r="H38" i="13"/>
  <c r="BS38" i="13"/>
  <c r="BB38" i="13"/>
  <c r="AK38" i="13"/>
  <c r="S38" i="13"/>
  <c r="BO38" i="13"/>
  <c r="AX38" i="13"/>
  <c r="AF38" i="13"/>
  <c r="O38" i="13"/>
  <c r="BK38" i="13"/>
  <c r="AS38" i="13"/>
  <c r="AB38" i="13"/>
  <c r="K38" i="13"/>
  <c r="BF38" i="13"/>
  <c r="AO38" i="13"/>
  <c r="X38" i="13"/>
  <c r="BM68" i="13"/>
  <c r="BQ67" i="13"/>
  <c r="BI67" i="13"/>
  <c r="BM67" i="13"/>
  <c r="U67" i="13"/>
  <c r="AL67" i="13"/>
  <c r="BC67" i="13"/>
  <c r="J67" i="13"/>
  <c r="AA67" i="13"/>
  <c r="AR67" i="13"/>
  <c r="BJ67" i="13"/>
  <c r="O67" i="13"/>
  <c r="AF67" i="13"/>
  <c r="AX67" i="13"/>
  <c r="BO67" i="13"/>
  <c r="BR26" i="13"/>
  <c r="BN26" i="13"/>
  <c r="BJ26" i="13"/>
  <c r="BE26" i="13"/>
  <c r="BA26" i="13"/>
  <c r="AW26" i="13"/>
  <c r="AR26" i="13"/>
  <c r="AN26" i="13"/>
  <c r="AJ26" i="13"/>
  <c r="AE26" i="13"/>
  <c r="AA26" i="13"/>
  <c r="W26" i="13"/>
  <c r="R26" i="13"/>
  <c r="N26" i="13"/>
  <c r="J26" i="13"/>
  <c r="BQ26" i="13"/>
  <c r="BL26" i="13"/>
  <c r="BF26" i="13"/>
  <c r="AZ26" i="13"/>
  <c r="AU26" i="13"/>
  <c r="AO26" i="13"/>
  <c r="AI26" i="13"/>
  <c r="AC26" i="13"/>
  <c r="X26" i="13"/>
  <c r="Q26" i="13"/>
  <c r="L26" i="13"/>
  <c r="BP26" i="13"/>
  <c r="BK26" i="13"/>
  <c r="BD26" i="13"/>
  <c r="AY26" i="13"/>
  <c r="AS26" i="13"/>
  <c r="AM26" i="13"/>
  <c r="AH26" i="13"/>
  <c r="AB26" i="13"/>
  <c r="V26" i="13"/>
  <c r="P26" i="13"/>
  <c r="K26" i="13"/>
  <c r="BO26" i="13"/>
  <c r="BI26" i="13"/>
  <c r="BC26" i="13"/>
  <c r="AX26" i="13"/>
  <c r="AQ26" i="13"/>
  <c r="AL26" i="13"/>
  <c r="AF26" i="13"/>
  <c r="Z26" i="13"/>
  <c r="U26" i="13"/>
  <c r="O26" i="13"/>
  <c r="I26" i="13"/>
  <c r="BH26" i="13"/>
  <c r="AK26" i="13"/>
  <c r="M26" i="13"/>
  <c r="BB26" i="13"/>
  <c r="AD26" i="13"/>
  <c r="H26" i="13"/>
  <c r="BS26" i="13"/>
  <c r="AV26" i="13"/>
  <c r="Y26" i="13"/>
  <c r="S26" i="13"/>
  <c r="BM26" i="13"/>
  <c r="AP26" i="13"/>
  <c r="BD14" i="13"/>
  <c r="AM14" i="13"/>
  <c r="AV25" i="13"/>
  <c r="U25" i="13"/>
  <c r="AQ25" i="13"/>
  <c r="BO25" i="13"/>
  <c r="AB25" i="13"/>
  <c r="AY25" i="13"/>
  <c r="H25" i="13"/>
  <c r="AC25" i="13"/>
  <c r="AZ25" i="13"/>
  <c r="N25" i="13"/>
  <c r="AE25" i="13"/>
  <c r="AW25" i="13"/>
  <c r="BN25" i="13"/>
  <c r="M23" i="13"/>
  <c r="V21" i="13"/>
  <c r="W21" i="13"/>
  <c r="AN21" i="13"/>
  <c r="BE21" i="13"/>
  <c r="K21" i="13"/>
  <c r="AB21" i="13"/>
  <c r="AS21" i="13"/>
  <c r="BK21" i="13"/>
  <c r="L21" i="13"/>
  <c r="AC21" i="13"/>
  <c r="AU21" i="13"/>
  <c r="BL21" i="13"/>
  <c r="AM17" i="13"/>
  <c r="R17" i="13"/>
  <c r="AJ17" i="13"/>
  <c r="BA17" i="13"/>
  <c r="BR17" i="13"/>
  <c r="X17" i="13"/>
  <c r="AO17" i="13"/>
  <c r="BF17" i="13"/>
  <c r="H17" i="13"/>
  <c r="Y17" i="13"/>
  <c r="AP17" i="13"/>
  <c r="BH17" i="13"/>
  <c r="BD13" i="13"/>
  <c r="N13" i="13"/>
  <c r="AE13" i="13"/>
  <c r="AW13" i="13"/>
  <c r="BN13" i="13"/>
  <c r="S13" i="13"/>
  <c r="AK13" i="13"/>
  <c r="BB13" i="13"/>
  <c r="BS13" i="13"/>
  <c r="U13" i="13"/>
  <c r="AL13" i="13"/>
  <c r="BC13" i="13"/>
  <c r="J9" i="13"/>
  <c r="AA9" i="13"/>
  <c r="AR9" i="13"/>
  <c r="BJ9" i="13"/>
  <c r="O9" i="13"/>
  <c r="AF9" i="13"/>
  <c r="AX9" i="13"/>
  <c r="BO9" i="13"/>
  <c r="P9" i="13"/>
  <c r="AH9" i="13"/>
  <c r="AY9" i="13"/>
  <c r="BP9" i="13"/>
  <c r="BG55" i="11"/>
  <c r="AG55" i="11"/>
  <c r="BD24" i="13"/>
  <c r="N24" i="13"/>
  <c r="AE24" i="13"/>
  <c r="AW24" i="13"/>
  <c r="BN24" i="13"/>
  <c r="S24" i="13"/>
  <c r="AK24" i="13"/>
  <c r="BB24" i="13"/>
  <c r="BS24" i="13"/>
  <c r="U24" i="13"/>
  <c r="AL24" i="13"/>
  <c r="BC24" i="13"/>
  <c r="BI23" i="13"/>
  <c r="AZ21" i="13"/>
  <c r="BD20" i="13"/>
  <c r="N20" i="13"/>
  <c r="AE20" i="13"/>
  <c r="AW20" i="13"/>
  <c r="BN20" i="13"/>
  <c r="S20" i="13"/>
  <c r="AK20" i="13"/>
  <c r="BB20" i="13"/>
  <c r="BS20" i="13"/>
  <c r="U20" i="13"/>
  <c r="AL20" i="13"/>
  <c r="BC20" i="13"/>
  <c r="BI19" i="13"/>
  <c r="AZ17" i="13"/>
  <c r="BD16" i="13"/>
  <c r="N16" i="13"/>
  <c r="AE16" i="13"/>
  <c r="AW16" i="13"/>
  <c r="BN16" i="13"/>
  <c r="S16" i="13"/>
  <c r="AK16" i="13"/>
  <c r="BB16" i="13"/>
  <c r="BS16" i="13"/>
  <c r="U16" i="13"/>
  <c r="AL16" i="13"/>
  <c r="BC16" i="13"/>
  <c r="BI15" i="13"/>
  <c r="AZ13" i="13"/>
  <c r="BD12" i="13"/>
  <c r="N12" i="13"/>
  <c r="AE12" i="13"/>
  <c r="AW12" i="13"/>
  <c r="BN12" i="13"/>
  <c r="S12" i="13"/>
  <c r="AK12" i="13"/>
  <c r="BB12" i="13"/>
  <c r="BS12" i="13"/>
  <c r="U12" i="13"/>
  <c r="AL12" i="13"/>
  <c r="BC12" i="13"/>
  <c r="BI11" i="13"/>
  <c r="AZ9" i="13"/>
  <c r="BD8" i="13"/>
  <c r="N8" i="13"/>
  <c r="AE8" i="13"/>
  <c r="AW8" i="13"/>
  <c r="BN8" i="13"/>
  <c r="S8" i="13"/>
  <c r="AK8" i="13"/>
  <c r="BB8" i="13"/>
  <c r="BS8" i="13"/>
  <c r="U8" i="13"/>
  <c r="AL8" i="13"/>
  <c r="BC8" i="13"/>
  <c r="BS7" i="13"/>
  <c r="BO7" i="13"/>
  <c r="BK7" i="13"/>
  <c r="BF7" i="13"/>
  <c r="BB7" i="13"/>
  <c r="AX7" i="13"/>
  <c r="AS7" i="13"/>
  <c r="AO7" i="13"/>
  <c r="AK7" i="13"/>
  <c r="AF7" i="13"/>
  <c r="AB7" i="13"/>
  <c r="X7" i="13"/>
  <c r="S7" i="13"/>
  <c r="O7" i="13"/>
  <c r="K7" i="13"/>
  <c r="BR7" i="13"/>
  <c r="BN7" i="13"/>
  <c r="BJ7" i="13"/>
  <c r="BE7" i="13"/>
  <c r="BA7" i="13"/>
  <c r="AW7" i="13"/>
  <c r="AR7" i="13"/>
  <c r="AN7" i="13"/>
  <c r="AJ7" i="13"/>
  <c r="AE7" i="13"/>
  <c r="AA7" i="13"/>
  <c r="W7" i="13"/>
  <c r="R7" i="13"/>
  <c r="N7" i="13"/>
  <c r="J7" i="13"/>
  <c r="BP7" i="13"/>
  <c r="BH7" i="13"/>
  <c r="AY7" i="13"/>
  <c r="AP7" i="13"/>
  <c r="AH7" i="13"/>
  <c r="Y7" i="13"/>
  <c r="P7" i="13"/>
  <c r="H7" i="13"/>
  <c r="BM7" i="13"/>
  <c r="BD7" i="13"/>
  <c r="AV7" i="13"/>
  <c r="AM7" i="13"/>
  <c r="AD7" i="13"/>
  <c r="V7" i="13"/>
  <c r="M7" i="13"/>
  <c r="BL7" i="13"/>
  <c r="BC7" i="13"/>
  <c r="AU7" i="13"/>
  <c r="AL7" i="13"/>
  <c r="AC7" i="13"/>
  <c r="U7" i="13"/>
  <c r="L7" i="13"/>
  <c r="AZ7" i="13"/>
  <c r="Q7" i="13"/>
  <c r="AQ7" i="13"/>
  <c r="I7" i="13"/>
  <c r="BQ7" i="13"/>
  <c r="AI7" i="13"/>
  <c r="BI7" i="13"/>
  <c r="Z7" i="13"/>
  <c r="V59" i="11"/>
  <c r="M25" i="13"/>
  <c r="J23" i="13"/>
  <c r="AA23" i="13"/>
  <c r="AR23" i="13"/>
  <c r="BJ23" i="13"/>
  <c r="O23" i="13"/>
  <c r="AF23" i="13"/>
  <c r="AX23" i="13"/>
  <c r="BO23" i="13"/>
  <c r="P23" i="13"/>
  <c r="AH23" i="13"/>
  <c r="AY23" i="13"/>
  <c r="BP23" i="13"/>
  <c r="M21" i="13"/>
  <c r="J19" i="13"/>
  <c r="AA19" i="13"/>
  <c r="AR19" i="13"/>
  <c r="BJ19" i="13"/>
  <c r="O19" i="13"/>
  <c r="AF19" i="13"/>
  <c r="AX19" i="13"/>
  <c r="BO19" i="13"/>
  <c r="P19" i="13"/>
  <c r="AH19" i="13"/>
  <c r="AY19" i="13"/>
  <c r="BP19" i="13"/>
  <c r="J15" i="13"/>
  <c r="AA15" i="13"/>
  <c r="AR15" i="13"/>
  <c r="BJ15" i="13"/>
  <c r="O15" i="13"/>
  <c r="AF15" i="13"/>
  <c r="AX15" i="13"/>
  <c r="BO15" i="13"/>
  <c r="P15" i="13"/>
  <c r="AH15" i="13"/>
  <c r="AY15" i="13"/>
  <c r="BP15" i="13"/>
  <c r="J11" i="13"/>
  <c r="AA11" i="13"/>
  <c r="AR11" i="13"/>
  <c r="BJ11" i="13"/>
  <c r="O11" i="13"/>
  <c r="AF11" i="13"/>
  <c r="AX11" i="13"/>
  <c r="BO11" i="13"/>
  <c r="P11" i="13"/>
  <c r="AH11" i="13"/>
  <c r="AY11" i="13"/>
  <c r="BP11" i="13"/>
  <c r="BQ24" i="13"/>
  <c r="BI10" i="13"/>
  <c r="BM10" i="13"/>
  <c r="BQ10" i="13"/>
  <c r="W10" i="13"/>
  <c r="AN10" i="13"/>
  <c r="BE10" i="13"/>
  <c r="K10" i="13"/>
  <c r="AB10" i="13"/>
  <c r="AS10" i="13"/>
  <c r="BK10" i="13"/>
  <c r="L10" i="13"/>
  <c r="AC10" i="13"/>
  <c r="AU10" i="13"/>
  <c r="BL10" i="13"/>
  <c r="T27" i="11"/>
  <c r="BT27" i="11"/>
  <c r="Z14" i="13"/>
  <c r="AD14" i="13"/>
  <c r="AI14" i="13"/>
  <c r="N14" i="13"/>
  <c r="AE14" i="13"/>
  <c r="AW14" i="13"/>
  <c r="BN14" i="13"/>
  <c r="S14" i="13"/>
  <c r="AK14" i="13"/>
  <c r="BB14" i="13"/>
  <c r="BS14" i="13"/>
  <c r="U14" i="13"/>
  <c r="AL14" i="13"/>
  <c r="BC14" i="13"/>
  <c r="BQ12" i="13"/>
  <c r="BT29" i="11"/>
  <c r="AT29" i="11"/>
  <c r="AQ18" i="13"/>
  <c r="AV18" i="13"/>
  <c r="AZ18" i="13"/>
  <c r="R18" i="13"/>
  <c r="AJ18" i="13"/>
  <c r="BA18" i="13"/>
  <c r="BR18" i="13"/>
  <c r="X18" i="13"/>
  <c r="AO18" i="13"/>
  <c r="BF18" i="13"/>
  <c r="H18" i="13"/>
  <c r="Y18" i="13"/>
  <c r="AP18" i="13"/>
  <c r="BH18" i="13"/>
  <c r="AM10" i="13"/>
  <c r="AH45" i="11"/>
  <c r="H45" i="11"/>
  <c r="BH45" i="11"/>
  <c r="I22" i="13"/>
  <c r="M22" i="13"/>
  <c r="Q22" i="13"/>
  <c r="J22" i="13"/>
  <c r="AA22" i="13"/>
  <c r="AR22" i="13"/>
  <c r="BJ22" i="13"/>
  <c r="O22" i="13"/>
  <c r="AF22" i="13"/>
  <c r="AX22" i="13"/>
  <c r="BO22" i="13"/>
  <c r="P22" i="13"/>
  <c r="AH22" i="13"/>
  <c r="AY22" i="13"/>
  <c r="BP22" i="13"/>
  <c r="AL31" i="11"/>
  <c r="AJ25" i="3" s="1"/>
  <c r="AM31" i="11"/>
  <c r="AK25" i="3" s="1"/>
  <c r="AH31" i="11"/>
  <c r="AF25" i="3" s="1"/>
  <c r="AT21" i="11"/>
  <c r="AI31" i="11"/>
  <c r="AG25" i="3" s="1"/>
  <c r="H31" i="11"/>
  <c r="F25" i="3" s="1"/>
  <c r="BH31" i="11"/>
  <c r="BF25" i="3" s="1"/>
  <c r="BT21" i="11"/>
  <c r="AW31" i="11"/>
  <c r="AU25" i="3" s="1"/>
  <c r="L13" i="11"/>
  <c r="L8" i="11"/>
  <c r="B119" i="10"/>
  <c r="J29" i="4"/>
  <c r="AT97" i="6"/>
  <c r="BF95" i="6"/>
  <c r="BF97" i="6" s="1"/>
  <c r="Z26" i="11"/>
  <c r="Y25" i="11"/>
  <c r="T11" i="11"/>
  <c r="BT11" i="11"/>
  <c r="AX97" i="6"/>
  <c r="BQ20" i="13"/>
  <c r="BG43" i="11"/>
  <c r="BF26" i="11"/>
  <c r="BF25" i="11" s="1"/>
  <c r="BE25" i="11"/>
  <c r="Z16" i="11"/>
  <c r="Y15" i="11"/>
  <c r="AL8" i="11"/>
  <c r="AJ17" i="11"/>
  <c r="AH40" i="3" s="1"/>
  <c r="U17" i="11"/>
  <c r="S40" i="3" s="1"/>
  <c r="J17" i="11"/>
  <c r="H40" i="3" s="1"/>
  <c r="BJ17" i="11"/>
  <c r="BH40" i="3" s="1"/>
  <c r="BB97" i="6"/>
  <c r="V97" i="6"/>
  <c r="BD97" i="6"/>
  <c r="AN97" i="6"/>
  <c r="X97" i="6"/>
  <c r="BS53" i="6"/>
  <c r="O29" i="11"/>
  <c r="BP14" i="11"/>
  <c r="BO13" i="11"/>
  <c r="X53" i="7"/>
  <c r="BT65" i="6"/>
  <c r="F76" i="1"/>
  <c r="AK97" i="6"/>
  <c r="BI97" i="6"/>
  <c r="F70" i="1"/>
  <c r="BS46" i="3"/>
  <c r="BC97" i="6"/>
  <c r="AU97" i="6"/>
  <c r="AR52" i="3"/>
  <c r="L76" i="1" s="1"/>
  <c r="I82" i="6"/>
  <c r="J78" i="6" s="1"/>
  <c r="J82" i="6" s="1"/>
  <c r="K78" i="6" s="1"/>
  <c r="K82" i="6" s="1"/>
  <c r="L78" i="6" s="1"/>
  <c r="L82" i="6" s="1"/>
  <c r="M78" i="6" s="1"/>
  <c r="M82" i="6" s="1"/>
  <c r="N78" i="6" s="1"/>
  <c r="N82" i="6" s="1"/>
  <c r="O78" i="6" s="1"/>
  <c r="O82" i="6" s="1"/>
  <c r="P78" i="6" s="1"/>
  <c r="P82" i="6" s="1"/>
  <c r="Q78" i="6" s="1"/>
  <c r="Q82" i="6" s="1"/>
  <c r="R78" i="6" s="1"/>
  <c r="R82" i="6" s="1"/>
  <c r="T78" i="6" s="1"/>
  <c r="BO97" i="6"/>
  <c r="J72" i="16"/>
  <c r="O72" i="16"/>
  <c r="P72" i="16" s="1"/>
  <c r="E103" i="16"/>
  <c r="E91" i="16"/>
  <c r="C162" i="16"/>
  <c r="D162" i="16" s="1"/>
  <c r="K76" i="16"/>
  <c r="U76" i="16"/>
  <c r="AA76" i="16" s="1"/>
  <c r="L76" i="16"/>
  <c r="E104" i="16"/>
  <c r="E115" i="16"/>
  <c r="G86" i="16"/>
  <c r="H86" i="16" s="1"/>
  <c r="M45" i="16"/>
  <c r="N45" i="16"/>
  <c r="G90" i="16"/>
  <c r="H90" i="16" s="1"/>
  <c r="M49" i="16"/>
  <c r="N49" i="16"/>
  <c r="S45" i="16"/>
  <c r="L6" i="16"/>
  <c r="N6" i="16" s="1"/>
  <c r="E85" i="16"/>
  <c r="I105" i="16"/>
  <c r="Q64" i="16"/>
  <c r="R64" i="16"/>
  <c r="CG11" i="14"/>
  <c r="CF10" i="14"/>
  <c r="BS103" i="13"/>
  <c r="BO103" i="13"/>
  <c r="BK103" i="13"/>
  <c r="BF103" i="13"/>
  <c r="BB103" i="13"/>
  <c r="AX103" i="13"/>
  <c r="AS103" i="13"/>
  <c r="AO103" i="13"/>
  <c r="AK103" i="13"/>
  <c r="AF103" i="13"/>
  <c r="AB103" i="13"/>
  <c r="X103" i="13"/>
  <c r="S103" i="13"/>
  <c r="O103" i="13"/>
  <c r="K103" i="13"/>
  <c r="BR103" i="13"/>
  <c r="BN103" i="13"/>
  <c r="BJ103" i="13"/>
  <c r="BE103" i="13"/>
  <c r="BA103" i="13"/>
  <c r="AW103" i="13"/>
  <c r="AR103" i="13"/>
  <c r="AN103" i="13"/>
  <c r="AJ103" i="13"/>
  <c r="AE103" i="13"/>
  <c r="AA103" i="13"/>
  <c r="W103" i="13"/>
  <c r="R103" i="13"/>
  <c r="N103" i="13"/>
  <c r="J103" i="13"/>
  <c r="BQ103" i="13"/>
  <c r="BM103" i="13"/>
  <c r="BI103" i="13"/>
  <c r="BD103" i="13"/>
  <c r="AZ103" i="13"/>
  <c r="AV103" i="13"/>
  <c r="AQ103" i="13"/>
  <c r="AM103" i="13"/>
  <c r="AI103" i="13"/>
  <c r="AD103" i="13"/>
  <c r="Z103" i="13"/>
  <c r="V103" i="13"/>
  <c r="Q103" i="13"/>
  <c r="M103" i="13"/>
  <c r="I103" i="13"/>
  <c r="BP103" i="13"/>
  <c r="BL103" i="13"/>
  <c r="BH103" i="13"/>
  <c r="BC103" i="13"/>
  <c r="AY103" i="13"/>
  <c r="AU103" i="13"/>
  <c r="AP103" i="13"/>
  <c r="AL103" i="13"/>
  <c r="AH103" i="13"/>
  <c r="AC103" i="13"/>
  <c r="Y103" i="13"/>
  <c r="U103" i="13"/>
  <c r="P103" i="13"/>
  <c r="L103" i="13"/>
  <c r="H103" i="13"/>
  <c r="BS100" i="13"/>
  <c r="BO100" i="13"/>
  <c r="BK100" i="13"/>
  <c r="BF100" i="13"/>
  <c r="BB100" i="13"/>
  <c r="AX100" i="13"/>
  <c r="AS100" i="13"/>
  <c r="AO100" i="13"/>
  <c r="AK100" i="13"/>
  <c r="AF100" i="13"/>
  <c r="AB100" i="13"/>
  <c r="X100" i="13"/>
  <c r="S100" i="13"/>
  <c r="O100" i="13"/>
  <c r="K100" i="13"/>
  <c r="BR100" i="13"/>
  <c r="BN100" i="13"/>
  <c r="BJ100" i="13"/>
  <c r="BE100" i="13"/>
  <c r="BA100" i="13"/>
  <c r="AW100" i="13"/>
  <c r="AR100" i="13"/>
  <c r="AN100" i="13"/>
  <c r="AJ100" i="13"/>
  <c r="AE100" i="13"/>
  <c r="AA100" i="13"/>
  <c r="W100" i="13"/>
  <c r="R100" i="13"/>
  <c r="N100" i="13"/>
  <c r="J100" i="13"/>
  <c r="BQ100" i="13"/>
  <c r="BM100" i="13"/>
  <c r="BI100" i="13"/>
  <c r="BD100" i="13"/>
  <c r="AZ100" i="13"/>
  <c r="AV100" i="13"/>
  <c r="AQ100" i="13"/>
  <c r="AM100" i="13"/>
  <c r="AI100" i="13"/>
  <c r="AD100" i="13"/>
  <c r="Z100" i="13"/>
  <c r="V100" i="13"/>
  <c r="Q100" i="13"/>
  <c r="M100" i="13"/>
  <c r="I100" i="13"/>
  <c r="BP100" i="13"/>
  <c r="BL100" i="13"/>
  <c r="BH100" i="13"/>
  <c r="BC100" i="13"/>
  <c r="AY100" i="13"/>
  <c r="AU100" i="13"/>
  <c r="AP100" i="13"/>
  <c r="AL100" i="13"/>
  <c r="AH100" i="13"/>
  <c r="AC100" i="13"/>
  <c r="Y100" i="13"/>
  <c r="U100" i="13"/>
  <c r="P100" i="13"/>
  <c r="L100" i="13"/>
  <c r="H100" i="13"/>
  <c r="BP96" i="13"/>
  <c r="BL96" i="13"/>
  <c r="BH96" i="13"/>
  <c r="BC96" i="13"/>
  <c r="AY96" i="13"/>
  <c r="AU96" i="13"/>
  <c r="AP96" i="13"/>
  <c r="AL96" i="13"/>
  <c r="AH96" i="13"/>
  <c r="AC96" i="13"/>
  <c r="Y96" i="13"/>
  <c r="U96" i="13"/>
  <c r="P96" i="13"/>
  <c r="L96" i="13"/>
  <c r="H96" i="13"/>
  <c r="BS96" i="13"/>
  <c r="BO96" i="13"/>
  <c r="BK96" i="13"/>
  <c r="BF96" i="13"/>
  <c r="BB96" i="13"/>
  <c r="AX96" i="13"/>
  <c r="AS96" i="13"/>
  <c r="AO96" i="13"/>
  <c r="AK96" i="13"/>
  <c r="AF96" i="13"/>
  <c r="AB96" i="13"/>
  <c r="X96" i="13"/>
  <c r="S96" i="13"/>
  <c r="O96" i="13"/>
  <c r="K96" i="13"/>
  <c r="BR96" i="13"/>
  <c r="BN96" i="13"/>
  <c r="BJ96" i="13"/>
  <c r="BE96" i="13"/>
  <c r="BA96" i="13"/>
  <c r="AW96" i="13"/>
  <c r="AR96" i="13"/>
  <c r="AN96" i="13"/>
  <c r="AJ96" i="13"/>
  <c r="AE96" i="13"/>
  <c r="AA96" i="13"/>
  <c r="W96" i="13"/>
  <c r="R96" i="13"/>
  <c r="N96" i="13"/>
  <c r="J96" i="13"/>
  <c r="BQ96" i="13"/>
  <c r="BM96" i="13"/>
  <c r="BI96" i="13"/>
  <c r="BD96" i="13"/>
  <c r="AZ96" i="13"/>
  <c r="AV96" i="13"/>
  <c r="AQ96" i="13"/>
  <c r="AM96" i="13"/>
  <c r="AI96" i="13"/>
  <c r="AD96" i="13"/>
  <c r="Z96" i="13"/>
  <c r="V96" i="13"/>
  <c r="Q96" i="13"/>
  <c r="M96" i="13"/>
  <c r="I96" i="13"/>
  <c r="BP92" i="13"/>
  <c r="BL92" i="13"/>
  <c r="BH92" i="13"/>
  <c r="BC92" i="13"/>
  <c r="AY92" i="13"/>
  <c r="AU92" i="13"/>
  <c r="AP92" i="13"/>
  <c r="AL92" i="13"/>
  <c r="AH92" i="13"/>
  <c r="AC92" i="13"/>
  <c r="Y92" i="13"/>
  <c r="U92" i="13"/>
  <c r="P92" i="13"/>
  <c r="L92" i="13"/>
  <c r="H92" i="13"/>
  <c r="BS92" i="13"/>
  <c r="BO92" i="13"/>
  <c r="BK92" i="13"/>
  <c r="BF92" i="13"/>
  <c r="BB92" i="13"/>
  <c r="AX92" i="13"/>
  <c r="AS92" i="13"/>
  <c r="AO92" i="13"/>
  <c r="AK92" i="13"/>
  <c r="AF92" i="13"/>
  <c r="AB92" i="13"/>
  <c r="X92" i="13"/>
  <c r="S92" i="13"/>
  <c r="O92" i="13"/>
  <c r="K92" i="13"/>
  <c r="BR92" i="13"/>
  <c r="BN92" i="13"/>
  <c r="BJ92" i="13"/>
  <c r="BE92" i="13"/>
  <c r="BA92" i="13"/>
  <c r="AW92" i="13"/>
  <c r="AR92" i="13"/>
  <c r="AN92" i="13"/>
  <c r="AJ92" i="13"/>
  <c r="AE92" i="13"/>
  <c r="AA92" i="13"/>
  <c r="W92" i="13"/>
  <c r="R92" i="13"/>
  <c r="N92" i="13"/>
  <c r="J92" i="13"/>
  <c r="BQ92" i="13"/>
  <c r="BM92" i="13"/>
  <c r="BI92" i="13"/>
  <c r="BD92" i="13"/>
  <c r="AZ92" i="13"/>
  <c r="AV92" i="13"/>
  <c r="AQ92" i="13"/>
  <c r="AM92" i="13"/>
  <c r="AI92" i="13"/>
  <c r="AD92" i="13"/>
  <c r="Z92" i="13"/>
  <c r="V92" i="13"/>
  <c r="Q92" i="13"/>
  <c r="M92" i="13"/>
  <c r="I92" i="13"/>
  <c r="BP88" i="13"/>
  <c r="BL88" i="13"/>
  <c r="BH88" i="13"/>
  <c r="BC88" i="13"/>
  <c r="AY88" i="13"/>
  <c r="AU88" i="13"/>
  <c r="AP88" i="13"/>
  <c r="AL88" i="13"/>
  <c r="AH88" i="13"/>
  <c r="AC88" i="13"/>
  <c r="Y88" i="13"/>
  <c r="U88" i="13"/>
  <c r="P88" i="13"/>
  <c r="L88" i="13"/>
  <c r="H88" i="13"/>
  <c r="BS88" i="13"/>
  <c r="BO88" i="13"/>
  <c r="BK88" i="13"/>
  <c r="BF88" i="13"/>
  <c r="BB88" i="13"/>
  <c r="AX88" i="13"/>
  <c r="AS88" i="13"/>
  <c r="AO88" i="13"/>
  <c r="AK88" i="13"/>
  <c r="AF88" i="13"/>
  <c r="AB88" i="13"/>
  <c r="X88" i="13"/>
  <c r="S88" i="13"/>
  <c r="O88" i="13"/>
  <c r="K88" i="13"/>
  <c r="BR88" i="13"/>
  <c r="BN88" i="13"/>
  <c r="BJ88" i="13"/>
  <c r="BE88" i="13"/>
  <c r="BA88" i="13"/>
  <c r="AW88" i="13"/>
  <c r="AR88" i="13"/>
  <c r="AN88" i="13"/>
  <c r="AJ88" i="13"/>
  <c r="AE88" i="13"/>
  <c r="AA88" i="13"/>
  <c r="W88" i="13"/>
  <c r="R88" i="13"/>
  <c r="N88" i="13"/>
  <c r="J88" i="13"/>
  <c r="BQ88" i="13"/>
  <c r="BM88" i="13"/>
  <c r="BI88" i="13"/>
  <c r="BD88" i="13"/>
  <c r="AZ88" i="13"/>
  <c r="AV88" i="13"/>
  <c r="AQ88" i="13"/>
  <c r="AM88" i="13"/>
  <c r="AI88" i="13"/>
  <c r="AD88" i="13"/>
  <c r="Z88" i="13"/>
  <c r="V88" i="13"/>
  <c r="Q88" i="13"/>
  <c r="M88" i="13"/>
  <c r="I88" i="13"/>
  <c r="BP84" i="13"/>
  <c r="BL84" i="13"/>
  <c r="BH84" i="13"/>
  <c r="BC84" i="13"/>
  <c r="AY84" i="13"/>
  <c r="AU84" i="13"/>
  <c r="AP84" i="13"/>
  <c r="AL84" i="13"/>
  <c r="AH84" i="13"/>
  <c r="AC84" i="13"/>
  <c r="Y84" i="13"/>
  <c r="U84" i="13"/>
  <c r="P84" i="13"/>
  <c r="L84" i="13"/>
  <c r="H84" i="13"/>
  <c r="BS84" i="13"/>
  <c r="BO84" i="13"/>
  <c r="BK84" i="13"/>
  <c r="BF84" i="13"/>
  <c r="BB84" i="13"/>
  <c r="AX84" i="13"/>
  <c r="AS84" i="13"/>
  <c r="AO84" i="13"/>
  <c r="AK84" i="13"/>
  <c r="AF84" i="13"/>
  <c r="AB84" i="13"/>
  <c r="X84" i="13"/>
  <c r="S84" i="13"/>
  <c r="O84" i="13"/>
  <c r="K84" i="13"/>
  <c r="BR84" i="13"/>
  <c r="BN84" i="13"/>
  <c r="BJ84" i="13"/>
  <c r="BE84" i="13"/>
  <c r="BA84" i="13"/>
  <c r="AW84" i="13"/>
  <c r="AR84" i="13"/>
  <c r="AN84" i="13"/>
  <c r="AJ84" i="13"/>
  <c r="AE84" i="13"/>
  <c r="AA84" i="13"/>
  <c r="W84" i="13"/>
  <c r="R84" i="13"/>
  <c r="N84" i="13"/>
  <c r="J84" i="13"/>
  <c r="BQ84" i="13"/>
  <c r="BM84" i="13"/>
  <c r="BI84" i="13"/>
  <c r="BD84" i="13"/>
  <c r="AZ84" i="13"/>
  <c r="AV84" i="13"/>
  <c r="AQ84" i="13"/>
  <c r="AM84" i="13"/>
  <c r="AI84" i="13"/>
  <c r="AD84" i="13"/>
  <c r="Z84" i="13"/>
  <c r="V84" i="13"/>
  <c r="Q84" i="13"/>
  <c r="M84" i="13"/>
  <c r="I84" i="13"/>
  <c r="AU80" i="13"/>
  <c r="AC80" i="13"/>
  <c r="Q80" i="13"/>
  <c r="I80" i="13"/>
  <c r="AP80" i="13"/>
  <c r="Y80" i="13"/>
  <c r="P80" i="13"/>
  <c r="H80" i="13"/>
  <c r="BM66" i="13"/>
  <c r="AV66" i="13"/>
  <c r="AD66" i="13"/>
  <c r="M66" i="13"/>
  <c r="I66" i="13"/>
  <c r="BI66" i="13"/>
  <c r="AQ66" i="13"/>
  <c r="Z66" i="13"/>
  <c r="BQ70" i="13"/>
  <c r="AZ70" i="13"/>
  <c r="AI70" i="13"/>
  <c r="Q70" i="13"/>
  <c r="BM69" i="13"/>
  <c r="AV69" i="13"/>
  <c r="AD69" i="13"/>
  <c r="M69" i="13"/>
  <c r="M80" i="13"/>
  <c r="AM80" i="13"/>
  <c r="BD80" i="13"/>
  <c r="J80" i="13"/>
  <c r="AA80" i="13"/>
  <c r="AR80" i="13"/>
  <c r="BJ80" i="13"/>
  <c r="O80" i="13"/>
  <c r="AF80" i="13"/>
  <c r="AX80" i="13"/>
  <c r="BO80" i="13"/>
  <c r="BL80" i="13"/>
  <c r="AV79" i="13"/>
  <c r="M79" i="13"/>
  <c r="W79" i="13"/>
  <c r="AN79" i="13"/>
  <c r="BE79" i="13"/>
  <c r="K79" i="13"/>
  <c r="AB79" i="13"/>
  <c r="AS79" i="13"/>
  <c r="BP70" i="13"/>
  <c r="AY70" i="13"/>
  <c r="AH70" i="13"/>
  <c r="P70" i="13"/>
  <c r="BL69" i="13"/>
  <c r="AU69" i="13"/>
  <c r="AC69" i="13"/>
  <c r="L69" i="13"/>
  <c r="AQ68" i="13"/>
  <c r="AZ66" i="13"/>
  <c r="H68" i="13"/>
  <c r="Y68" i="13"/>
  <c r="AP68" i="13"/>
  <c r="BH68" i="13"/>
  <c r="N68" i="13"/>
  <c r="AE68" i="13"/>
  <c r="AW68" i="13"/>
  <c r="BN68" i="13"/>
  <c r="S68" i="13"/>
  <c r="AK68" i="13"/>
  <c r="BB68" i="13"/>
  <c r="BS68" i="13"/>
  <c r="AD68" i="13"/>
  <c r="V66" i="13"/>
  <c r="U66" i="13"/>
  <c r="AL66" i="13"/>
  <c r="BC66" i="13"/>
  <c r="J66" i="13"/>
  <c r="AA66" i="13"/>
  <c r="AR66" i="13"/>
  <c r="BJ66" i="13"/>
  <c r="O66" i="13"/>
  <c r="AF66" i="13"/>
  <c r="AX66" i="13"/>
  <c r="BO66" i="13"/>
  <c r="BS62" i="13"/>
  <c r="BO62" i="13"/>
  <c r="BK62" i="13"/>
  <c r="BF62" i="13"/>
  <c r="BB62" i="13"/>
  <c r="AX62" i="13"/>
  <c r="AS62" i="13"/>
  <c r="AO62" i="13"/>
  <c r="AK62" i="13"/>
  <c r="AF62" i="13"/>
  <c r="AB62" i="13"/>
  <c r="X62" i="13"/>
  <c r="S62" i="13"/>
  <c r="O62" i="13"/>
  <c r="K62" i="13"/>
  <c r="BN62" i="13"/>
  <c r="BI62" i="13"/>
  <c r="BC62" i="13"/>
  <c r="AW62" i="13"/>
  <c r="AQ62" i="13"/>
  <c r="AL62" i="13"/>
  <c r="AE62" i="13"/>
  <c r="Z62" i="13"/>
  <c r="U62" i="13"/>
  <c r="N62" i="13"/>
  <c r="I62" i="13"/>
  <c r="BR62" i="13"/>
  <c r="BM62" i="13"/>
  <c r="BH62" i="13"/>
  <c r="BA62" i="13"/>
  <c r="AV62" i="13"/>
  <c r="AP62" i="13"/>
  <c r="AJ62" i="13"/>
  <c r="AD62" i="13"/>
  <c r="Y62" i="13"/>
  <c r="R62" i="13"/>
  <c r="M62" i="13"/>
  <c r="H62" i="13"/>
  <c r="BP62" i="13"/>
  <c r="BJ62" i="13"/>
  <c r="BD62" i="13"/>
  <c r="AY62" i="13"/>
  <c r="AR62" i="13"/>
  <c r="AM62" i="13"/>
  <c r="AH62" i="13"/>
  <c r="AA62" i="13"/>
  <c r="V62" i="13"/>
  <c r="P62" i="13"/>
  <c r="J62" i="13"/>
  <c r="BL62" i="13"/>
  <c r="AN62" i="13"/>
  <c r="Q62" i="13"/>
  <c r="BE62" i="13"/>
  <c r="AI62" i="13"/>
  <c r="L62" i="13"/>
  <c r="AZ62" i="13"/>
  <c r="AC62" i="13"/>
  <c r="BQ62" i="13"/>
  <c r="AU62" i="13"/>
  <c r="W62" i="13"/>
  <c r="BS58" i="13"/>
  <c r="BO58" i="13"/>
  <c r="BK58" i="13"/>
  <c r="BF58" i="13"/>
  <c r="BB58" i="13"/>
  <c r="AX58" i="13"/>
  <c r="AS58" i="13"/>
  <c r="AO58" i="13"/>
  <c r="AK58" i="13"/>
  <c r="AF58" i="13"/>
  <c r="AB58" i="13"/>
  <c r="X58" i="13"/>
  <c r="S58" i="13"/>
  <c r="O58" i="13"/>
  <c r="K58" i="13"/>
  <c r="BN58" i="13"/>
  <c r="BI58" i="13"/>
  <c r="BC58" i="13"/>
  <c r="AW58" i="13"/>
  <c r="AQ58" i="13"/>
  <c r="AL58" i="13"/>
  <c r="AE58" i="13"/>
  <c r="Z58" i="13"/>
  <c r="U58" i="13"/>
  <c r="N58" i="13"/>
  <c r="I58" i="13"/>
  <c r="BR58" i="13"/>
  <c r="BM58" i="13"/>
  <c r="BH58" i="13"/>
  <c r="BA58" i="13"/>
  <c r="AV58" i="13"/>
  <c r="AP58" i="13"/>
  <c r="AJ58" i="13"/>
  <c r="AD58" i="13"/>
  <c r="Y58" i="13"/>
  <c r="R58" i="13"/>
  <c r="M58" i="13"/>
  <c r="H58" i="13"/>
  <c r="BP58" i="13"/>
  <c r="BJ58" i="13"/>
  <c r="BD58" i="13"/>
  <c r="AY58" i="13"/>
  <c r="AR58" i="13"/>
  <c r="AM58" i="13"/>
  <c r="AH58" i="13"/>
  <c r="AA58" i="13"/>
  <c r="V58" i="13"/>
  <c r="P58" i="13"/>
  <c r="J58" i="13"/>
  <c r="BL58" i="13"/>
  <c r="AN58" i="13"/>
  <c r="Q58" i="13"/>
  <c r="BE58" i="13"/>
  <c r="AI58" i="13"/>
  <c r="L58" i="13"/>
  <c r="AZ58" i="13"/>
  <c r="AC58" i="13"/>
  <c r="BQ58" i="13"/>
  <c r="AU58" i="13"/>
  <c r="W58" i="13"/>
  <c r="AM67" i="13"/>
  <c r="BR41" i="13"/>
  <c r="BN41" i="13"/>
  <c r="BJ41" i="13"/>
  <c r="BE41" i="13"/>
  <c r="BA41" i="13"/>
  <c r="AW41" i="13"/>
  <c r="AR41" i="13"/>
  <c r="AN41" i="13"/>
  <c r="AJ41" i="13"/>
  <c r="AE41" i="13"/>
  <c r="AA41" i="13"/>
  <c r="W41" i="13"/>
  <c r="R41" i="13"/>
  <c r="N41" i="13"/>
  <c r="J41" i="13"/>
  <c r="BQ41" i="13"/>
  <c r="BM41" i="13"/>
  <c r="BI41" i="13"/>
  <c r="BD41" i="13"/>
  <c r="AZ41" i="13"/>
  <c r="AV41" i="13"/>
  <c r="AQ41" i="13"/>
  <c r="AM41" i="13"/>
  <c r="AI41" i="13"/>
  <c r="AD41" i="13"/>
  <c r="Z41" i="13"/>
  <c r="V41" i="13"/>
  <c r="Q41" i="13"/>
  <c r="M41" i="13"/>
  <c r="I41" i="13"/>
  <c r="BP41" i="13"/>
  <c r="BL41" i="13"/>
  <c r="BH41" i="13"/>
  <c r="BC41" i="13"/>
  <c r="AY41" i="13"/>
  <c r="AU41" i="13"/>
  <c r="AP41" i="13"/>
  <c r="AL41" i="13"/>
  <c r="AH41" i="13"/>
  <c r="AC41" i="13"/>
  <c r="Y41" i="13"/>
  <c r="U41" i="13"/>
  <c r="P41" i="13"/>
  <c r="L41" i="13"/>
  <c r="H41" i="13"/>
  <c r="BS41" i="13"/>
  <c r="BO41" i="13"/>
  <c r="BK41" i="13"/>
  <c r="BF41" i="13"/>
  <c r="BB41" i="13"/>
  <c r="AX41" i="13"/>
  <c r="AS41" i="13"/>
  <c r="AO41" i="13"/>
  <c r="AK41" i="13"/>
  <c r="AF41" i="13"/>
  <c r="AB41" i="13"/>
  <c r="X41" i="13"/>
  <c r="S41" i="13"/>
  <c r="O41" i="13"/>
  <c r="K41" i="13"/>
  <c r="BR37" i="13"/>
  <c r="BN37" i="13"/>
  <c r="BJ37" i="13"/>
  <c r="BE37" i="13"/>
  <c r="BA37" i="13"/>
  <c r="AW37" i="13"/>
  <c r="AR37" i="13"/>
  <c r="AN37" i="13"/>
  <c r="AJ37" i="13"/>
  <c r="AE37" i="13"/>
  <c r="AA37" i="13"/>
  <c r="W37" i="13"/>
  <c r="R37" i="13"/>
  <c r="N37" i="13"/>
  <c r="J37" i="13"/>
  <c r="BQ37" i="13"/>
  <c r="BM37" i="13"/>
  <c r="BI37" i="13"/>
  <c r="BD37" i="13"/>
  <c r="AZ37" i="13"/>
  <c r="AV37" i="13"/>
  <c r="AQ37" i="13"/>
  <c r="AM37" i="13"/>
  <c r="AI37" i="13"/>
  <c r="AD37" i="13"/>
  <c r="Z37" i="13"/>
  <c r="V37" i="13"/>
  <c r="Q37" i="13"/>
  <c r="M37" i="13"/>
  <c r="I37" i="13"/>
  <c r="BP37" i="13"/>
  <c r="BL37" i="13"/>
  <c r="BH37" i="13"/>
  <c r="BC37" i="13"/>
  <c r="AY37" i="13"/>
  <c r="AU37" i="13"/>
  <c r="AP37" i="13"/>
  <c r="AL37" i="13"/>
  <c r="AH37" i="13"/>
  <c r="AC37" i="13"/>
  <c r="Y37" i="13"/>
  <c r="U37" i="13"/>
  <c r="P37" i="13"/>
  <c r="L37" i="13"/>
  <c r="H37" i="13"/>
  <c r="BF37" i="13"/>
  <c r="AO37" i="13"/>
  <c r="X37" i="13"/>
  <c r="BS37" i="13"/>
  <c r="BB37" i="13"/>
  <c r="AK37" i="13"/>
  <c r="S37" i="13"/>
  <c r="BO37" i="13"/>
  <c r="AX37" i="13"/>
  <c r="AF37" i="13"/>
  <c r="O37" i="13"/>
  <c r="K37" i="13"/>
  <c r="BK37" i="13"/>
  <c r="AS37" i="13"/>
  <c r="AB37" i="13"/>
  <c r="V67" i="13"/>
  <c r="Q67" i="13"/>
  <c r="I67" i="13"/>
  <c r="M67" i="13"/>
  <c r="H67" i="13"/>
  <c r="Y67" i="13"/>
  <c r="AP67" i="13"/>
  <c r="BH67" i="13"/>
  <c r="N67" i="13"/>
  <c r="AE67" i="13"/>
  <c r="AW67" i="13"/>
  <c r="BN67" i="13"/>
  <c r="S67" i="13"/>
  <c r="AK67" i="13"/>
  <c r="BB67" i="13"/>
  <c r="BS67" i="13"/>
  <c r="BR35" i="13"/>
  <c r="BN35" i="13"/>
  <c r="BJ35" i="13"/>
  <c r="BE35" i="13"/>
  <c r="BA35" i="13"/>
  <c r="AW35" i="13"/>
  <c r="AR35" i="13"/>
  <c r="AN35" i="13"/>
  <c r="AJ35" i="13"/>
  <c r="AE35" i="13"/>
  <c r="AA35" i="13"/>
  <c r="W35" i="13"/>
  <c r="R35" i="13"/>
  <c r="N35" i="13"/>
  <c r="J35" i="13"/>
  <c r="BQ35" i="13"/>
  <c r="BM35" i="13"/>
  <c r="BI35" i="13"/>
  <c r="BD35" i="13"/>
  <c r="AZ35" i="13"/>
  <c r="AV35" i="13"/>
  <c r="AQ35" i="13"/>
  <c r="AM35" i="13"/>
  <c r="AI35" i="13"/>
  <c r="AD35" i="13"/>
  <c r="Z35" i="13"/>
  <c r="V35" i="13"/>
  <c r="Q35" i="13"/>
  <c r="M35" i="13"/>
  <c r="I35" i="13"/>
  <c r="BP35" i="13"/>
  <c r="BL35" i="13"/>
  <c r="BH35" i="13"/>
  <c r="BC35" i="13"/>
  <c r="AY35" i="13"/>
  <c r="AU35" i="13"/>
  <c r="AP35" i="13"/>
  <c r="AL35" i="13"/>
  <c r="AH35" i="13"/>
  <c r="AC35" i="13"/>
  <c r="Y35" i="13"/>
  <c r="U35" i="13"/>
  <c r="P35" i="13"/>
  <c r="L35" i="13"/>
  <c r="BO35" i="13"/>
  <c r="AX35" i="13"/>
  <c r="AF35" i="13"/>
  <c r="O35" i="13"/>
  <c r="BK35" i="13"/>
  <c r="AS35" i="13"/>
  <c r="AB35" i="13"/>
  <c r="K35" i="13"/>
  <c r="BF35" i="13"/>
  <c r="AO35" i="13"/>
  <c r="X35" i="13"/>
  <c r="H35" i="13"/>
  <c r="S35" i="13"/>
  <c r="BS35" i="13"/>
  <c r="BB35" i="13"/>
  <c r="AK35" i="13"/>
  <c r="BR33" i="13"/>
  <c r="BN33" i="13"/>
  <c r="BJ33" i="13"/>
  <c r="BE33" i="13"/>
  <c r="BA33" i="13"/>
  <c r="AW33" i="13"/>
  <c r="AR33" i="13"/>
  <c r="AN33" i="13"/>
  <c r="AJ33" i="13"/>
  <c r="AE33" i="13"/>
  <c r="AA33" i="13"/>
  <c r="W33" i="13"/>
  <c r="R33" i="13"/>
  <c r="N33" i="13"/>
  <c r="J33" i="13"/>
  <c r="BQ33" i="13"/>
  <c r="BM33" i="13"/>
  <c r="BI33" i="13"/>
  <c r="BD33" i="13"/>
  <c r="AZ33" i="13"/>
  <c r="AV33" i="13"/>
  <c r="AQ33" i="13"/>
  <c r="AM33" i="13"/>
  <c r="AI33" i="13"/>
  <c r="AD33" i="13"/>
  <c r="Z33" i="13"/>
  <c r="V33" i="13"/>
  <c r="Q33" i="13"/>
  <c r="M33" i="13"/>
  <c r="I33" i="13"/>
  <c r="BL33" i="13"/>
  <c r="BC33" i="13"/>
  <c r="AU33" i="13"/>
  <c r="AL33" i="13"/>
  <c r="AC33" i="13"/>
  <c r="U33" i="13"/>
  <c r="L33" i="13"/>
  <c r="BS33" i="13"/>
  <c r="BK33" i="13"/>
  <c r="BB33" i="13"/>
  <c r="AS33" i="13"/>
  <c r="AK33" i="13"/>
  <c r="AB33" i="13"/>
  <c r="S33" i="13"/>
  <c r="K33" i="13"/>
  <c r="BP33" i="13"/>
  <c r="BH33" i="13"/>
  <c r="AY33" i="13"/>
  <c r="AP33" i="13"/>
  <c r="AH33" i="13"/>
  <c r="Y33" i="13"/>
  <c r="P33" i="13"/>
  <c r="H33" i="13"/>
  <c r="BO33" i="13"/>
  <c r="AF33" i="13"/>
  <c r="BF33" i="13"/>
  <c r="X33" i="13"/>
  <c r="AX33" i="13"/>
  <c r="O33" i="13"/>
  <c r="AO33" i="13"/>
  <c r="BR31" i="13"/>
  <c r="BN31" i="13"/>
  <c r="BJ31" i="13"/>
  <c r="BE31" i="13"/>
  <c r="BA31" i="13"/>
  <c r="AW31" i="13"/>
  <c r="AR31" i="13"/>
  <c r="AN31" i="13"/>
  <c r="AJ31" i="13"/>
  <c r="AE31" i="13"/>
  <c r="AA31" i="13"/>
  <c r="W31" i="13"/>
  <c r="R31" i="13"/>
  <c r="N31" i="13"/>
  <c r="J31" i="13"/>
  <c r="BQ31" i="13"/>
  <c r="BM31" i="13"/>
  <c r="BI31" i="13"/>
  <c r="BD31" i="13"/>
  <c r="AZ31" i="13"/>
  <c r="AV31" i="13"/>
  <c r="AQ31" i="13"/>
  <c r="AM31" i="13"/>
  <c r="AI31" i="13"/>
  <c r="AD31" i="13"/>
  <c r="Z31" i="13"/>
  <c r="V31" i="13"/>
  <c r="Q31" i="13"/>
  <c r="M31" i="13"/>
  <c r="I31" i="13"/>
  <c r="BL31" i="13"/>
  <c r="BC31" i="13"/>
  <c r="AU31" i="13"/>
  <c r="AL31" i="13"/>
  <c r="AC31" i="13"/>
  <c r="U31" i="13"/>
  <c r="L31" i="13"/>
  <c r="BS31" i="13"/>
  <c r="BK31" i="13"/>
  <c r="BB31" i="13"/>
  <c r="AS31" i="13"/>
  <c r="AK31" i="13"/>
  <c r="AB31" i="13"/>
  <c r="S31" i="13"/>
  <c r="K31" i="13"/>
  <c r="BP31" i="13"/>
  <c r="BH31" i="13"/>
  <c r="AY31" i="13"/>
  <c r="AP31" i="13"/>
  <c r="AH31" i="13"/>
  <c r="Y31" i="13"/>
  <c r="P31" i="13"/>
  <c r="H31" i="13"/>
  <c r="AX31" i="13"/>
  <c r="O31" i="13"/>
  <c r="AO31" i="13"/>
  <c r="BO31" i="13"/>
  <c r="AF31" i="13"/>
  <c r="BF31" i="13"/>
  <c r="X31" i="13"/>
  <c r="BR29" i="13"/>
  <c r="BN29" i="13"/>
  <c r="BJ29" i="13"/>
  <c r="BE29" i="13"/>
  <c r="BA29" i="13"/>
  <c r="AW29" i="13"/>
  <c r="AR29" i="13"/>
  <c r="AN29" i="13"/>
  <c r="AJ29" i="13"/>
  <c r="AE29" i="13"/>
  <c r="AA29" i="13"/>
  <c r="W29" i="13"/>
  <c r="R29" i="13"/>
  <c r="N29" i="13"/>
  <c r="J29" i="13"/>
  <c r="BQ29" i="13"/>
  <c r="BM29" i="13"/>
  <c r="BI29" i="13"/>
  <c r="BD29" i="13"/>
  <c r="AZ29" i="13"/>
  <c r="AV29" i="13"/>
  <c r="AQ29" i="13"/>
  <c r="AM29" i="13"/>
  <c r="AI29" i="13"/>
  <c r="AD29" i="13"/>
  <c r="Z29" i="13"/>
  <c r="V29" i="13"/>
  <c r="Q29" i="13"/>
  <c r="M29" i="13"/>
  <c r="BL29" i="13"/>
  <c r="BC29" i="13"/>
  <c r="AU29" i="13"/>
  <c r="AL29" i="13"/>
  <c r="AC29" i="13"/>
  <c r="U29" i="13"/>
  <c r="L29" i="13"/>
  <c r="BS29" i="13"/>
  <c r="BK29" i="13"/>
  <c r="BB29" i="13"/>
  <c r="AS29" i="13"/>
  <c r="AK29" i="13"/>
  <c r="AB29" i="13"/>
  <c r="S29" i="13"/>
  <c r="K29" i="13"/>
  <c r="BP29" i="13"/>
  <c r="BH29" i="13"/>
  <c r="AY29" i="13"/>
  <c r="AP29" i="13"/>
  <c r="AH29" i="13"/>
  <c r="Y29" i="13"/>
  <c r="P29" i="13"/>
  <c r="I29" i="13"/>
  <c r="BO29" i="13"/>
  <c r="AF29" i="13"/>
  <c r="BF29" i="13"/>
  <c r="X29" i="13"/>
  <c r="AX29" i="13"/>
  <c r="O29" i="13"/>
  <c r="AO29" i="13"/>
  <c r="H29" i="13"/>
  <c r="AD25" i="13"/>
  <c r="I25" i="13"/>
  <c r="BB25" i="13"/>
  <c r="I21" i="13"/>
  <c r="BI21" i="13"/>
  <c r="AQ21" i="13"/>
  <c r="Z21" i="13"/>
  <c r="BI17" i="13"/>
  <c r="AQ17" i="13"/>
  <c r="Z17" i="13"/>
  <c r="I17" i="13"/>
  <c r="AQ13" i="13"/>
  <c r="Z13" i="13"/>
  <c r="I13" i="13"/>
  <c r="BI13" i="13"/>
  <c r="Z9" i="13"/>
  <c r="I9" i="13"/>
  <c r="BI9" i="13"/>
  <c r="AQ9" i="13"/>
  <c r="Y25" i="13"/>
  <c r="Z25" i="13"/>
  <c r="AX25" i="13"/>
  <c r="K25" i="13"/>
  <c r="AH25" i="13"/>
  <c r="BD25" i="13"/>
  <c r="L25" i="13"/>
  <c r="AI25" i="13"/>
  <c r="BF25" i="13"/>
  <c r="R25" i="13"/>
  <c r="AJ25" i="13"/>
  <c r="BA25" i="13"/>
  <c r="BR25" i="13"/>
  <c r="BM23" i="13"/>
  <c r="J21" i="13"/>
  <c r="AA21" i="13"/>
  <c r="AR21" i="13"/>
  <c r="BJ21" i="13"/>
  <c r="O21" i="13"/>
  <c r="AF21" i="13"/>
  <c r="AX21" i="13"/>
  <c r="BO21" i="13"/>
  <c r="P21" i="13"/>
  <c r="AH21" i="13"/>
  <c r="AY21" i="13"/>
  <c r="BP21" i="13"/>
  <c r="V17" i="13"/>
  <c r="W17" i="13"/>
  <c r="AN17" i="13"/>
  <c r="BE17" i="13"/>
  <c r="K17" i="13"/>
  <c r="AB17" i="13"/>
  <c r="AS17" i="13"/>
  <c r="BK17" i="13"/>
  <c r="L17" i="13"/>
  <c r="AC17" i="13"/>
  <c r="AU17" i="13"/>
  <c r="BL17" i="13"/>
  <c r="AM13" i="13"/>
  <c r="R13" i="13"/>
  <c r="AJ13" i="13"/>
  <c r="BA13" i="13"/>
  <c r="BR13" i="13"/>
  <c r="X13" i="13"/>
  <c r="AO13" i="13"/>
  <c r="BF13" i="13"/>
  <c r="H13" i="13"/>
  <c r="Y13" i="13"/>
  <c r="AP13" i="13"/>
  <c r="BH13" i="13"/>
  <c r="BD9" i="13"/>
  <c r="N9" i="13"/>
  <c r="AE9" i="13"/>
  <c r="AW9" i="13"/>
  <c r="BN9" i="13"/>
  <c r="S9" i="13"/>
  <c r="AK9" i="13"/>
  <c r="BB9" i="13"/>
  <c r="BS9" i="13"/>
  <c r="U9" i="13"/>
  <c r="AL9" i="13"/>
  <c r="BC9" i="13"/>
  <c r="BG51" i="11"/>
  <c r="AM24" i="13"/>
  <c r="R24" i="13"/>
  <c r="AJ24" i="13"/>
  <c r="BA24" i="13"/>
  <c r="BR24" i="13"/>
  <c r="X24" i="13"/>
  <c r="AO24" i="13"/>
  <c r="BF24" i="13"/>
  <c r="H24" i="13"/>
  <c r="Y24" i="13"/>
  <c r="AP24" i="13"/>
  <c r="BH24" i="13"/>
  <c r="AQ23" i="13"/>
  <c r="AI21" i="13"/>
  <c r="AM20" i="13"/>
  <c r="R20" i="13"/>
  <c r="AJ20" i="13"/>
  <c r="BA20" i="13"/>
  <c r="BR20" i="13"/>
  <c r="X20" i="13"/>
  <c r="AO20" i="13"/>
  <c r="BF20" i="13"/>
  <c r="H20" i="13"/>
  <c r="Y20" i="13"/>
  <c r="AP20" i="13"/>
  <c r="BH20" i="13"/>
  <c r="AQ19" i="13"/>
  <c r="AI17" i="13"/>
  <c r="AM16" i="13"/>
  <c r="R16" i="13"/>
  <c r="AJ16" i="13"/>
  <c r="BA16" i="13"/>
  <c r="BR16" i="13"/>
  <c r="X16" i="13"/>
  <c r="AO16" i="13"/>
  <c r="BF16" i="13"/>
  <c r="H16" i="13"/>
  <c r="Y16" i="13"/>
  <c r="AP16" i="13"/>
  <c r="BH16" i="13"/>
  <c r="AQ15" i="13"/>
  <c r="AI13" i="13"/>
  <c r="AM12" i="13"/>
  <c r="R12" i="13"/>
  <c r="AJ12" i="13"/>
  <c r="BA12" i="13"/>
  <c r="BR12" i="13"/>
  <c r="X12" i="13"/>
  <c r="AO12" i="13"/>
  <c r="BF12" i="13"/>
  <c r="H12" i="13"/>
  <c r="Y12" i="13"/>
  <c r="AP12" i="13"/>
  <c r="BH12" i="13"/>
  <c r="AQ11" i="13"/>
  <c r="AI9" i="13"/>
  <c r="AM8" i="13"/>
  <c r="R8" i="13"/>
  <c r="AJ8" i="13"/>
  <c r="BA8" i="13"/>
  <c r="BR8" i="13"/>
  <c r="X8" i="13"/>
  <c r="AO8" i="13"/>
  <c r="BF8" i="13"/>
  <c r="H8" i="13"/>
  <c r="Y8" i="13"/>
  <c r="AP8" i="13"/>
  <c r="BH8" i="13"/>
  <c r="BS6" i="13"/>
  <c r="BO6" i="13"/>
  <c r="BK6" i="13"/>
  <c r="BF6" i="13"/>
  <c r="BB6" i="13"/>
  <c r="AX6" i="13"/>
  <c r="AS6" i="13"/>
  <c r="AO6" i="13"/>
  <c r="AK6" i="13"/>
  <c r="AF6" i="13"/>
  <c r="AB6" i="13"/>
  <c r="X6" i="13"/>
  <c r="S6" i="13"/>
  <c r="O6" i="13"/>
  <c r="K6" i="13"/>
  <c r="BR6" i="13"/>
  <c r="BN6" i="13"/>
  <c r="BJ6" i="13"/>
  <c r="BE6" i="13"/>
  <c r="BA6" i="13"/>
  <c r="AW6" i="13"/>
  <c r="AR6" i="13"/>
  <c r="AN6" i="13"/>
  <c r="AJ6" i="13"/>
  <c r="AE6" i="13"/>
  <c r="AA6" i="13"/>
  <c r="W6" i="13"/>
  <c r="R6" i="13"/>
  <c r="N6" i="13"/>
  <c r="J6" i="13"/>
  <c r="BP6" i="13"/>
  <c r="BH6" i="13"/>
  <c r="AY6" i="13"/>
  <c r="AP6" i="13"/>
  <c r="AH6" i="13"/>
  <c r="Y6" i="13"/>
  <c r="P6" i="13"/>
  <c r="H6" i="13"/>
  <c r="BM6" i="13"/>
  <c r="BD6" i="13"/>
  <c r="AV6" i="13"/>
  <c r="AM6" i="13"/>
  <c r="AD6" i="13"/>
  <c r="V6" i="13"/>
  <c r="M6" i="13"/>
  <c r="BL6" i="13"/>
  <c r="BC6" i="13"/>
  <c r="AU6" i="13"/>
  <c r="AL6" i="13"/>
  <c r="AC6" i="13"/>
  <c r="U6" i="13"/>
  <c r="L6" i="13"/>
  <c r="BI6" i="13"/>
  <c r="Z6" i="13"/>
  <c r="AZ6" i="13"/>
  <c r="Q6" i="13"/>
  <c r="AQ6" i="13"/>
  <c r="I6" i="13"/>
  <c r="AI6" i="13"/>
  <c r="BQ6" i="13"/>
  <c r="J59" i="11"/>
  <c r="BJ59" i="11"/>
  <c r="AU59" i="11"/>
  <c r="BD23" i="13"/>
  <c r="N23" i="13"/>
  <c r="AE23" i="13"/>
  <c r="AW23" i="13"/>
  <c r="BN23" i="13"/>
  <c r="S23" i="13"/>
  <c r="AK23" i="13"/>
  <c r="BB23" i="13"/>
  <c r="BS23" i="13"/>
  <c r="U23" i="13"/>
  <c r="AL23" i="13"/>
  <c r="BC23" i="13"/>
  <c r="BM21" i="13"/>
  <c r="BD19" i="13"/>
  <c r="N19" i="13"/>
  <c r="AE19" i="13"/>
  <c r="AW19" i="13"/>
  <c r="BN19" i="13"/>
  <c r="S19" i="13"/>
  <c r="AK19" i="13"/>
  <c r="BB19" i="13"/>
  <c r="BS19" i="13"/>
  <c r="U19" i="13"/>
  <c r="AL19" i="13"/>
  <c r="BC19" i="13"/>
  <c r="BM17" i="13"/>
  <c r="BD15" i="13"/>
  <c r="N15" i="13"/>
  <c r="AE15" i="13"/>
  <c r="AW15" i="13"/>
  <c r="BN15" i="13"/>
  <c r="S15" i="13"/>
  <c r="AK15" i="13"/>
  <c r="BB15" i="13"/>
  <c r="BS15" i="13"/>
  <c r="U15" i="13"/>
  <c r="AL15" i="13"/>
  <c r="BC15" i="13"/>
  <c r="BM13" i="13"/>
  <c r="BD11" i="13"/>
  <c r="N11" i="13"/>
  <c r="AE11" i="13"/>
  <c r="AW11" i="13"/>
  <c r="BN11" i="13"/>
  <c r="S11" i="13"/>
  <c r="AK11" i="13"/>
  <c r="BB11" i="13"/>
  <c r="BS11" i="13"/>
  <c r="U11" i="13"/>
  <c r="AL11" i="13"/>
  <c r="BC11" i="13"/>
  <c r="BM9" i="13"/>
  <c r="AM18" i="13"/>
  <c r="I10" i="13"/>
  <c r="M10" i="13"/>
  <c r="Q10" i="13"/>
  <c r="J10" i="13"/>
  <c r="AA10" i="13"/>
  <c r="AR10" i="13"/>
  <c r="BJ10" i="13"/>
  <c r="O10" i="13"/>
  <c r="AF10" i="13"/>
  <c r="AX10" i="13"/>
  <c r="BO10" i="13"/>
  <c r="P10" i="13"/>
  <c r="AH10" i="13"/>
  <c r="AY10" i="13"/>
  <c r="BP10" i="13"/>
  <c r="V18" i="13"/>
  <c r="AQ14" i="13"/>
  <c r="AV14" i="13"/>
  <c r="AZ14" i="13"/>
  <c r="R14" i="13"/>
  <c r="AJ14" i="13"/>
  <c r="BA14" i="13"/>
  <c r="BR14" i="13"/>
  <c r="X14" i="13"/>
  <c r="AO14" i="13"/>
  <c r="BF14" i="13"/>
  <c r="H14" i="13"/>
  <c r="Y14" i="13"/>
  <c r="AP14" i="13"/>
  <c r="BH14" i="13"/>
  <c r="BG57" i="11"/>
  <c r="BG37" i="11"/>
  <c r="AG27" i="11"/>
  <c r="AT25" i="11"/>
  <c r="AT9" i="11"/>
  <c r="BI18" i="13"/>
  <c r="BM18" i="13"/>
  <c r="BQ18" i="13"/>
  <c r="W18" i="13"/>
  <c r="AN18" i="13"/>
  <c r="BE18" i="13"/>
  <c r="K18" i="13"/>
  <c r="AB18" i="13"/>
  <c r="AS18" i="13"/>
  <c r="BK18" i="13"/>
  <c r="L18" i="13"/>
  <c r="AC18" i="13"/>
  <c r="AU18" i="13"/>
  <c r="BL18" i="13"/>
  <c r="BQ9" i="13"/>
  <c r="U45" i="11"/>
  <c r="V45" i="11"/>
  <c r="V22" i="13"/>
  <c r="Z22" i="13"/>
  <c r="AD22" i="13"/>
  <c r="AI22" i="13"/>
  <c r="N22" i="13"/>
  <c r="AE22" i="13"/>
  <c r="AW22" i="13"/>
  <c r="BN22" i="13"/>
  <c r="S22" i="13"/>
  <c r="AK22" i="13"/>
  <c r="BB22" i="13"/>
  <c r="BS22" i="13"/>
  <c r="U22" i="13"/>
  <c r="AL22" i="13"/>
  <c r="BC22" i="13"/>
  <c r="BD10" i="13"/>
  <c r="BE42" i="11"/>
  <c r="BD41" i="11"/>
  <c r="AU31" i="11"/>
  <c r="AS25" i="3" s="1"/>
  <c r="BG21" i="11"/>
  <c r="K31" i="11"/>
  <c r="I25" i="3" s="1"/>
  <c r="AV31" i="11"/>
  <c r="AT25" i="3" s="1"/>
  <c r="AK31" i="11"/>
  <c r="AI25" i="3" s="1"/>
  <c r="O60" i="3"/>
  <c r="P9" i="2"/>
  <c r="AD97" i="6"/>
  <c r="AH97" i="6"/>
  <c r="T43" i="11"/>
  <c r="BT43" i="11"/>
  <c r="AC42" i="11"/>
  <c r="AB41" i="11"/>
  <c r="W17" i="11"/>
  <c r="U40" i="3" s="1"/>
  <c r="I17" i="11"/>
  <c r="G40" i="3" s="1"/>
  <c r="BI17" i="11"/>
  <c r="BG40" i="3" s="1"/>
  <c r="AW97" i="6"/>
  <c r="BP97" i="6"/>
  <c r="AZ97" i="6"/>
  <c r="AJ97" i="6"/>
  <c r="T97" i="6"/>
  <c r="AF95" i="6"/>
  <c r="AF97" i="6" s="1"/>
  <c r="BQ13" i="13"/>
  <c r="AA23" i="11"/>
  <c r="AB24" i="11"/>
  <c r="AQ13" i="11"/>
  <c r="AR14" i="11"/>
  <c r="AE97" i="6"/>
  <c r="W97" i="6"/>
  <c r="H39" i="2"/>
  <c r="BA97" i="6"/>
  <c r="AQ97" i="6"/>
  <c r="BK97" i="6"/>
  <c r="BS56" i="3"/>
  <c r="BS48" i="3"/>
  <c r="E79" i="16"/>
  <c r="C159" i="16"/>
  <c r="D159" i="16" s="1"/>
  <c r="C163" i="16"/>
  <c r="D163" i="16" s="1"/>
  <c r="C158" i="16"/>
  <c r="D158" i="16" s="1"/>
  <c r="E110" i="16"/>
  <c r="E108" i="16"/>
  <c r="C161" i="16"/>
  <c r="D161" i="16" s="1"/>
  <c r="O68" i="16"/>
  <c r="P68" i="16" s="1"/>
  <c r="J68" i="16"/>
  <c r="O55" i="16"/>
  <c r="P55" i="16" s="1"/>
  <c r="J55" i="16"/>
  <c r="E88" i="16"/>
  <c r="G110" i="16"/>
  <c r="H110" i="16" s="1"/>
  <c r="M69" i="16"/>
  <c r="N69" i="16"/>
  <c r="K77" i="16"/>
  <c r="L77" i="16"/>
  <c r="U77" i="16"/>
  <c r="AA77" i="16" s="1"/>
  <c r="G102" i="16"/>
  <c r="H102" i="16" s="1"/>
  <c r="N61" i="16"/>
  <c r="M61" i="16"/>
  <c r="C160" i="16"/>
  <c r="D160" i="16" s="1"/>
  <c r="O73" i="16"/>
  <c r="P73" i="16" s="1"/>
  <c r="J73" i="16"/>
  <c r="E98" i="16"/>
  <c r="E113" i="16"/>
  <c r="E100" i="16"/>
  <c r="O47" i="16"/>
  <c r="P47" i="16" s="1"/>
  <c r="J47" i="16"/>
  <c r="C157" i="16"/>
  <c r="D157" i="16" s="1"/>
  <c r="E109" i="16"/>
  <c r="I102" i="16"/>
  <c r="R61" i="16"/>
  <c r="Q61" i="16"/>
  <c r="K52" i="16"/>
  <c r="U52" i="16"/>
  <c r="AA52" i="16" s="1"/>
  <c r="L52" i="16"/>
  <c r="K43" i="16"/>
  <c r="U43" i="16"/>
  <c r="AA43" i="16" s="1"/>
  <c r="L43" i="16"/>
  <c r="U74" i="16"/>
  <c r="AA74" i="16" s="1"/>
  <c r="L74" i="16"/>
  <c r="K74" i="16"/>
  <c r="O58" i="16"/>
  <c r="P58" i="16" s="1"/>
  <c r="J58" i="16"/>
  <c r="I118" i="16"/>
  <c r="Q77" i="16"/>
  <c r="R77" i="16"/>
  <c r="E97" i="16"/>
  <c r="L56" i="16"/>
  <c r="K56" i="16"/>
  <c r="U56" i="16"/>
  <c r="AA56" i="16" s="1"/>
  <c r="I94" i="16"/>
  <c r="R53" i="16"/>
  <c r="Q53" i="16"/>
  <c r="G78" i="16"/>
  <c r="G79" i="16" s="1"/>
  <c r="J42" i="16"/>
  <c r="O42" i="16"/>
  <c r="S69" i="16"/>
  <c r="L30" i="16"/>
  <c r="N30" i="16" s="1"/>
  <c r="S65" i="16"/>
  <c r="L26" i="16"/>
  <c r="N26" i="16" s="1"/>
  <c r="I91" i="16"/>
  <c r="R50" i="16"/>
  <c r="Q50" i="16"/>
  <c r="F78" i="16"/>
  <c r="F79" i="16" s="1"/>
  <c r="BS102" i="13"/>
  <c r="BO102" i="13"/>
  <c r="BK102" i="13"/>
  <c r="BF102" i="13"/>
  <c r="BB102" i="13"/>
  <c r="AX102" i="13"/>
  <c r="AS102" i="13"/>
  <c r="AO102" i="13"/>
  <c r="AK102" i="13"/>
  <c r="AF102" i="13"/>
  <c r="AB102" i="13"/>
  <c r="X102" i="13"/>
  <c r="S102" i="13"/>
  <c r="O102" i="13"/>
  <c r="K102" i="13"/>
  <c r="BR102" i="13"/>
  <c r="BN102" i="13"/>
  <c r="BJ102" i="13"/>
  <c r="BE102" i="13"/>
  <c r="BA102" i="13"/>
  <c r="AW102" i="13"/>
  <c r="AR102" i="13"/>
  <c r="AN102" i="13"/>
  <c r="AJ102" i="13"/>
  <c r="AE102" i="13"/>
  <c r="AA102" i="13"/>
  <c r="W102" i="13"/>
  <c r="R102" i="13"/>
  <c r="N102" i="13"/>
  <c r="J102" i="13"/>
  <c r="BQ102" i="13"/>
  <c r="BM102" i="13"/>
  <c r="BI102" i="13"/>
  <c r="BD102" i="13"/>
  <c r="AZ102" i="13"/>
  <c r="AV102" i="13"/>
  <c r="AQ102" i="13"/>
  <c r="AM102" i="13"/>
  <c r="AI102" i="13"/>
  <c r="AD102" i="13"/>
  <c r="Z102" i="13"/>
  <c r="V102" i="13"/>
  <c r="Q102" i="13"/>
  <c r="M102" i="13"/>
  <c r="I102" i="13"/>
  <c r="BP102" i="13"/>
  <c r="BL102" i="13"/>
  <c r="BH102" i="13"/>
  <c r="BC102" i="13"/>
  <c r="AY102" i="13"/>
  <c r="AU102" i="13"/>
  <c r="AP102" i="13"/>
  <c r="AL102" i="13"/>
  <c r="AH102" i="13"/>
  <c r="AC102" i="13"/>
  <c r="Y102" i="13"/>
  <c r="U102" i="13"/>
  <c r="P102" i="13"/>
  <c r="L102" i="13"/>
  <c r="H102" i="13"/>
  <c r="BP95" i="13"/>
  <c r="BL95" i="13"/>
  <c r="BH95" i="13"/>
  <c r="BC95" i="13"/>
  <c r="AY95" i="13"/>
  <c r="AU95" i="13"/>
  <c r="AP95" i="13"/>
  <c r="AL95" i="13"/>
  <c r="AH95" i="13"/>
  <c r="AC95" i="13"/>
  <c r="Y95" i="13"/>
  <c r="U95" i="13"/>
  <c r="P95" i="13"/>
  <c r="L95" i="13"/>
  <c r="H95" i="13"/>
  <c r="BS95" i="13"/>
  <c r="BO95" i="13"/>
  <c r="BK95" i="13"/>
  <c r="BF95" i="13"/>
  <c r="BB95" i="13"/>
  <c r="AX95" i="13"/>
  <c r="AS95" i="13"/>
  <c r="AO95" i="13"/>
  <c r="AK95" i="13"/>
  <c r="AF95" i="13"/>
  <c r="AB95" i="13"/>
  <c r="X95" i="13"/>
  <c r="S95" i="13"/>
  <c r="O95" i="13"/>
  <c r="K95" i="13"/>
  <c r="BR95" i="13"/>
  <c r="BN95" i="13"/>
  <c r="BJ95" i="13"/>
  <c r="BE95" i="13"/>
  <c r="BA95" i="13"/>
  <c r="AW95" i="13"/>
  <c r="AR95" i="13"/>
  <c r="AN95" i="13"/>
  <c r="AJ95" i="13"/>
  <c r="AE95" i="13"/>
  <c r="AA95" i="13"/>
  <c r="W95" i="13"/>
  <c r="R95" i="13"/>
  <c r="N95" i="13"/>
  <c r="J95" i="13"/>
  <c r="BQ95" i="13"/>
  <c r="BM95" i="13"/>
  <c r="BI95" i="13"/>
  <c r="BD95" i="13"/>
  <c r="AZ95" i="13"/>
  <c r="AV95" i="13"/>
  <c r="AQ95" i="13"/>
  <c r="AM95" i="13"/>
  <c r="AI95" i="13"/>
  <c r="AD95" i="13"/>
  <c r="Z95" i="13"/>
  <c r="V95" i="13"/>
  <c r="Q95" i="13"/>
  <c r="M95" i="13"/>
  <c r="I95" i="13"/>
  <c r="BP91" i="13"/>
  <c r="BL91" i="13"/>
  <c r="BH91" i="13"/>
  <c r="BC91" i="13"/>
  <c r="AY91" i="13"/>
  <c r="AU91" i="13"/>
  <c r="AP91" i="13"/>
  <c r="AL91" i="13"/>
  <c r="AH91" i="13"/>
  <c r="AC91" i="13"/>
  <c r="Y91" i="13"/>
  <c r="U91" i="13"/>
  <c r="P91" i="13"/>
  <c r="L91" i="13"/>
  <c r="H91" i="13"/>
  <c r="BS91" i="13"/>
  <c r="BO91" i="13"/>
  <c r="BK91" i="13"/>
  <c r="BF91" i="13"/>
  <c r="BB91" i="13"/>
  <c r="AX91" i="13"/>
  <c r="AS91" i="13"/>
  <c r="AO91" i="13"/>
  <c r="AK91" i="13"/>
  <c r="AF91" i="13"/>
  <c r="AB91" i="13"/>
  <c r="X91" i="13"/>
  <c r="S91" i="13"/>
  <c r="O91" i="13"/>
  <c r="K91" i="13"/>
  <c r="BR91" i="13"/>
  <c r="BN91" i="13"/>
  <c r="BJ91" i="13"/>
  <c r="BE91" i="13"/>
  <c r="BA91" i="13"/>
  <c r="AW91" i="13"/>
  <c r="AR91" i="13"/>
  <c r="AN91" i="13"/>
  <c r="AJ91" i="13"/>
  <c r="AE91" i="13"/>
  <c r="AA91" i="13"/>
  <c r="W91" i="13"/>
  <c r="R91" i="13"/>
  <c r="N91" i="13"/>
  <c r="J91" i="13"/>
  <c r="BQ91" i="13"/>
  <c r="BM91" i="13"/>
  <c r="BI91" i="13"/>
  <c r="BD91" i="13"/>
  <c r="AZ91" i="13"/>
  <c r="AV91" i="13"/>
  <c r="AQ91" i="13"/>
  <c r="AM91" i="13"/>
  <c r="AI91" i="13"/>
  <c r="AD91" i="13"/>
  <c r="Z91" i="13"/>
  <c r="V91" i="13"/>
  <c r="Q91" i="13"/>
  <c r="M91" i="13"/>
  <c r="I91" i="13"/>
  <c r="BP87" i="13"/>
  <c r="BL87" i="13"/>
  <c r="BH87" i="13"/>
  <c r="BC87" i="13"/>
  <c r="AY87" i="13"/>
  <c r="AU87" i="13"/>
  <c r="AP87" i="13"/>
  <c r="AL87" i="13"/>
  <c r="AH87" i="13"/>
  <c r="AC87" i="13"/>
  <c r="Y87" i="13"/>
  <c r="U87" i="13"/>
  <c r="P87" i="13"/>
  <c r="L87" i="13"/>
  <c r="H87" i="13"/>
  <c r="BS87" i="13"/>
  <c r="BO87" i="13"/>
  <c r="BK87" i="13"/>
  <c r="BF87" i="13"/>
  <c r="BB87" i="13"/>
  <c r="AX87" i="13"/>
  <c r="AS87" i="13"/>
  <c r="AO87" i="13"/>
  <c r="AK87" i="13"/>
  <c r="AF87" i="13"/>
  <c r="AB87" i="13"/>
  <c r="X87" i="13"/>
  <c r="S87" i="13"/>
  <c r="O87" i="13"/>
  <c r="K87" i="13"/>
  <c r="BR87" i="13"/>
  <c r="BN87" i="13"/>
  <c r="BJ87" i="13"/>
  <c r="BE87" i="13"/>
  <c r="BA87" i="13"/>
  <c r="AW87" i="13"/>
  <c r="AR87" i="13"/>
  <c r="AN87" i="13"/>
  <c r="AJ87" i="13"/>
  <c r="AE87" i="13"/>
  <c r="AA87" i="13"/>
  <c r="W87" i="13"/>
  <c r="R87" i="13"/>
  <c r="N87" i="13"/>
  <c r="J87" i="13"/>
  <c r="BQ87" i="13"/>
  <c r="BM87" i="13"/>
  <c r="BI87" i="13"/>
  <c r="BD87" i="13"/>
  <c r="AZ87" i="13"/>
  <c r="AV87" i="13"/>
  <c r="AQ87" i="13"/>
  <c r="AM87" i="13"/>
  <c r="AI87" i="13"/>
  <c r="AD87" i="13"/>
  <c r="Z87" i="13"/>
  <c r="V87" i="13"/>
  <c r="Q87" i="13"/>
  <c r="M87" i="13"/>
  <c r="I87" i="13"/>
  <c r="BP83" i="13"/>
  <c r="BL83" i="13"/>
  <c r="BH83" i="13"/>
  <c r="BC83" i="13"/>
  <c r="AY83" i="13"/>
  <c r="AU83" i="13"/>
  <c r="AP83" i="13"/>
  <c r="AL83" i="13"/>
  <c r="AH83" i="13"/>
  <c r="AC83" i="13"/>
  <c r="Y83" i="13"/>
  <c r="U83" i="13"/>
  <c r="P83" i="13"/>
  <c r="L83" i="13"/>
  <c r="H83" i="13"/>
  <c r="BS83" i="13"/>
  <c r="BO83" i="13"/>
  <c r="BK83" i="13"/>
  <c r="BF83" i="13"/>
  <c r="BB83" i="13"/>
  <c r="AX83" i="13"/>
  <c r="AS83" i="13"/>
  <c r="AO83" i="13"/>
  <c r="AK83" i="13"/>
  <c r="AF83" i="13"/>
  <c r="AB83" i="13"/>
  <c r="X83" i="13"/>
  <c r="S83" i="13"/>
  <c r="O83" i="13"/>
  <c r="K83" i="13"/>
  <c r="BR83" i="13"/>
  <c r="BN83" i="13"/>
  <c r="BJ83" i="13"/>
  <c r="BE83" i="13"/>
  <c r="BA83" i="13"/>
  <c r="AW83" i="13"/>
  <c r="AR83" i="13"/>
  <c r="AN83" i="13"/>
  <c r="AJ83" i="13"/>
  <c r="AE83" i="13"/>
  <c r="AA83" i="13"/>
  <c r="W83" i="13"/>
  <c r="R83" i="13"/>
  <c r="N83" i="13"/>
  <c r="J83" i="13"/>
  <c r="BQ83" i="13"/>
  <c r="BM83" i="13"/>
  <c r="BI83" i="13"/>
  <c r="BD83" i="13"/>
  <c r="AZ83" i="13"/>
  <c r="AV83" i="13"/>
  <c r="AQ83" i="13"/>
  <c r="AM83" i="13"/>
  <c r="AI83" i="13"/>
  <c r="AD83" i="13"/>
  <c r="Z83" i="13"/>
  <c r="V83" i="13"/>
  <c r="Q83" i="13"/>
  <c r="M83" i="13"/>
  <c r="I83" i="13"/>
  <c r="AH80" i="13"/>
  <c r="BQ79" i="13"/>
  <c r="BI79" i="13"/>
  <c r="AZ79" i="13"/>
  <c r="AQ79" i="13"/>
  <c r="AI79" i="13"/>
  <c r="Z79" i="13"/>
  <c r="Q79" i="13"/>
  <c r="I79" i="13"/>
  <c r="BP79" i="13"/>
  <c r="BH79" i="13"/>
  <c r="AY79" i="13"/>
  <c r="AP79" i="13"/>
  <c r="AH79" i="13"/>
  <c r="Y79" i="13"/>
  <c r="P79" i="13"/>
  <c r="H79" i="13"/>
  <c r="BM70" i="13"/>
  <c r="AV70" i="13"/>
  <c r="AD70" i="13"/>
  <c r="M70" i="13"/>
  <c r="BI69" i="13"/>
  <c r="AQ69" i="13"/>
  <c r="Z69" i="13"/>
  <c r="I69" i="13"/>
  <c r="Z80" i="13"/>
  <c r="AQ80" i="13"/>
  <c r="BI80" i="13"/>
  <c r="N80" i="13"/>
  <c r="AE80" i="13"/>
  <c r="AW80" i="13"/>
  <c r="BN80" i="13"/>
  <c r="S80" i="13"/>
  <c r="AK80" i="13"/>
  <c r="BB80" i="13"/>
  <c r="BS80" i="13"/>
  <c r="BP80" i="13"/>
  <c r="AM79" i="13"/>
  <c r="J79" i="13"/>
  <c r="AA79" i="13"/>
  <c r="AR79" i="13"/>
  <c r="BJ79" i="13"/>
  <c r="O79" i="13"/>
  <c r="AF79" i="13"/>
  <c r="AX79" i="13"/>
  <c r="BO79" i="13"/>
  <c r="BL70" i="13"/>
  <c r="AU70" i="13"/>
  <c r="AC70" i="13"/>
  <c r="L70" i="13"/>
  <c r="BH69" i="13"/>
  <c r="AP69" i="13"/>
  <c r="Y69" i="13"/>
  <c r="H69" i="13"/>
  <c r="Z68" i="13"/>
  <c r="AI66" i="13"/>
  <c r="BD68" i="13"/>
  <c r="L68" i="13"/>
  <c r="AC68" i="13"/>
  <c r="AU68" i="13"/>
  <c r="BL68" i="13"/>
  <c r="R68" i="13"/>
  <c r="AJ68" i="13"/>
  <c r="BA68" i="13"/>
  <c r="BR68" i="13"/>
  <c r="X68" i="13"/>
  <c r="AO68" i="13"/>
  <c r="BF68" i="13"/>
  <c r="H66" i="13"/>
  <c r="Y66" i="13"/>
  <c r="AP66" i="13"/>
  <c r="BH66" i="13"/>
  <c r="N66" i="13"/>
  <c r="AE66" i="13"/>
  <c r="AW66" i="13"/>
  <c r="BN66" i="13"/>
  <c r="S66" i="13"/>
  <c r="AK66" i="13"/>
  <c r="BB66" i="13"/>
  <c r="BS66" i="13"/>
  <c r="BS61" i="13"/>
  <c r="BO61" i="13"/>
  <c r="BK61" i="13"/>
  <c r="BF61" i="13"/>
  <c r="BB61" i="13"/>
  <c r="AX61" i="13"/>
  <c r="AS61" i="13"/>
  <c r="AO61" i="13"/>
  <c r="AK61" i="13"/>
  <c r="AF61" i="13"/>
  <c r="AB61" i="13"/>
  <c r="X61" i="13"/>
  <c r="S61" i="13"/>
  <c r="O61" i="13"/>
  <c r="K61" i="13"/>
  <c r="BN61" i="13"/>
  <c r="BI61" i="13"/>
  <c r="BC61" i="13"/>
  <c r="AW61" i="13"/>
  <c r="AQ61" i="13"/>
  <c r="AL61" i="13"/>
  <c r="AE61" i="13"/>
  <c r="Z61" i="13"/>
  <c r="U61" i="13"/>
  <c r="N61" i="13"/>
  <c r="I61" i="13"/>
  <c r="BR61" i="13"/>
  <c r="BM61" i="13"/>
  <c r="BH61" i="13"/>
  <c r="BA61" i="13"/>
  <c r="AV61" i="13"/>
  <c r="AP61" i="13"/>
  <c r="AJ61" i="13"/>
  <c r="AD61" i="13"/>
  <c r="Y61" i="13"/>
  <c r="R61" i="13"/>
  <c r="M61" i="13"/>
  <c r="H61" i="13"/>
  <c r="BP61" i="13"/>
  <c r="BJ61" i="13"/>
  <c r="BD61" i="13"/>
  <c r="AY61" i="13"/>
  <c r="AR61" i="13"/>
  <c r="AM61" i="13"/>
  <c r="AH61" i="13"/>
  <c r="AA61" i="13"/>
  <c r="V61" i="13"/>
  <c r="P61" i="13"/>
  <c r="J61" i="13"/>
  <c r="BQ61" i="13"/>
  <c r="AU61" i="13"/>
  <c r="W61" i="13"/>
  <c r="BL61" i="13"/>
  <c r="AN61" i="13"/>
  <c r="Q61" i="13"/>
  <c r="BE61" i="13"/>
  <c r="AI61" i="13"/>
  <c r="L61" i="13"/>
  <c r="AZ61" i="13"/>
  <c r="AC61" i="13"/>
  <c r="BD67" i="13"/>
  <c r="BR40" i="13"/>
  <c r="BN40" i="13"/>
  <c r="BJ40" i="13"/>
  <c r="BE40" i="13"/>
  <c r="BA40" i="13"/>
  <c r="AW40" i="13"/>
  <c r="AR40" i="13"/>
  <c r="AN40" i="13"/>
  <c r="AJ40" i="13"/>
  <c r="AE40" i="13"/>
  <c r="AA40" i="13"/>
  <c r="W40" i="13"/>
  <c r="R40" i="13"/>
  <c r="N40" i="13"/>
  <c r="J40" i="13"/>
  <c r="BQ40" i="13"/>
  <c r="BM40" i="13"/>
  <c r="BI40" i="13"/>
  <c r="BD40" i="13"/>
  <c r="AZ40" i="13"/>
  <c r="AV40" i="13"/>
  <c r="AQ40" i="13"/>
  <c r="AM40" i="13"/>
  <c r="AI40" i="13"/>
  <c r="AD40" i="13"/>
  <c r="Z40" i="13"/>
  <c r="V40" i="13"/>
  <c r="Q40" i="13"/>
  <c r="M40" i="13"/>
  <c r="I40" i="13"/>
  <c r="BP40" i="13"/>
  <c r="BL40" i="13"/>
  <c r="BH40" i="13"/>
  <c r="BC40" i="13"/>
  <c r="AY40" i="13"/>
  <c r="AU40" i="13"/>
  <c r="AP40" i="13"/>
  <c r="AL40" i="13"/>
  <c r="AH40" i="13"/>
  <c r="AC40" i="13"/>
  <c r="Y40" i="13"/>
  <c r="U40" i="13"/>
  <c r="P40" i="13"/>
  <c r="L40" i="13"/>
  <c r="H40" i="13"/>
  <c r="BS40" i="13"/>
  <c r="BO40" i="13"/>
  <c r="BK40" i="13"/>
  <c r="BF40" i="13"/>
  <c r="BB40" i="13"/>
  <c r="AX40" i="13"/>
  <c r="AS40" i="13"/>
  <c r="AO40" i="13"/>
  <c r="AK40" i="13"/>
  <c r="AF40" i="13"/>
  <c r="AB40" i="13"/>
  <c r="X40" i="13"/>
  <c r="S40" i="13"/>
  <c r="O40" i="13"/>
  <c r="K40" i="13"/>
  <c r="BR36" i="13"/>
  <c r="BN36" i="13"/>
  <c r="BJ36" i="13"/>
  <c r="BE36" i="13"/>
  <c r="BA36" i="13"/>
  <c r="AW36" i="13"/>
  <c r="AR36" i="13"/>
  <c r="AN36" i="13"/>
  <c r="AJ36" i="13"/>
  <c r="AE36" i="13"/>
  <c r="AA36" i="13"/>
  <c r="W36" i="13"/>
  <c r="R36" i="13"/>
  <c r="N36" i="13"/>
  <c r="J36" i="13"/>
  <c r="BQ36" i="13"/>
  <c r="BM36" i="13"/>
  <c r="BI36" i="13"/>
  <c r="BD36" i="13"/>
  <c r="AZ36" i="13"/>
  <c r="AV36" i="13"/>
  <c r="AQ36" i="13"/>
  <c r="AM36" i="13"/>
  <c r="AI36" i="13"/>
  <c r="AD36" i="13"/>
  <c r="Z36" i="13"/>
  <c r="V36" i="13"/>
  <c r="Q36" i="13"/>
  <c r="M36" i="13"/>
  <c r="I36" i="13"/>
  <c r="BP36" i="13"/>
  <c r="BL36" i="13"/>
  <c r="BH36" i="13"/>
  <c r="BC36" i="13"/>
  <c r="AY36" i="13"/>
  <c r="AU36" i="13"/>
  <c r="AP36" i="13"/>
  <c r="AL36" i="13"/>
  <c r="AH36" i="13"/>
  <c r="AC36" i="13"/>
  <c r="Y36" i="13"/>
  <c r="U36" i="13"/>
  <c r="P36" i="13"/>
  <c r="L36" i="13"/>
  <c r="H36" i="13"/>
  <c r="BK36" i="13"/>
  <c r="AS36" i="13"/>
  <c r="AB36" i="13"/>
  <c r="K36" i="13"/>
  <c r="BF36" i="13"/>
  <c r="AO36" i="13"/>
  <c r="X36" i="13"/>
  <c r="BS36" i="13"/>
  <c r="BB36" i="13"/>
  <c r="AK36" i="13"/>
  <c r="S36" i="13"/>
  <c r="AX36" i="13"/>
  <c r="AF36" i="13"/>
  <c r="O36" i="13"/>
  <c r="BO36" i="13"/>
  <c r="AI67" i="13"/>
  <c r="Z67" i="13"/>
  <c r="AD67" i="13"/>
  <c r="L67" i="13"/>
  <c r="AC67" i="13"/>
  <c r="AU67" i="13"/>
  <c r="BL67" i="13"/>
  <c r="R67" i="13"/>
  <c r="AJ67" i="13"/>
  <c r="BA67" i="13"/>
  <c r="BR67" i="13"/>
  <c r="X67" i="13"/>
  <c r="AO67" i="13"/>
  <c r="BF67" i="13"/>
  <c r="BR28" i="13"/>
  <c r="BN28" i="13"/>
  <c r="BJ28" i="13"/>
  <c r="BE28" i="13"/>
  <c r="BA28" i="13"/>
  <c r="AW28" i="13"/>
  <c r="AR28" i="13"/>
  <c r="AN28" i="13"/>
  <c r="AJ28" i="13"/>
  <c r="AE28" i="13"/>
  <c r="AA28" i="13"/>
  <c r="W28" i="13"/>
  <c r="R28" i="13"/>
  <c r="N28" i="13"/>
  <c r="J28" i="13"/>
  <c r="BQ28" i="13"/>
  <c r="BL28" i="13"/>
  <c r="BF28" i="13"/>
  <c r="AZ28" i="13"/>
  <c r="AU28" i="13"/>
  <c r="AO28" i="13"/>
  <c r="AI28" i="13"/>
  <c r="AC28" i="13"/>
  <c r="X28" i="13"/>
  <c r="Q28" i="13"/>
  <c r="L28" i="13"/>
  <c r="BP28" i="13"/>
  <c r="BK28" i="13"/>
  <c r="BD28" i="13"/>
  <c r="AY28" i="13"/>
  <c r="AS28" i="13"/>
  <c r="AM28" i="13"/>
  <c r="AH28" i="13"/>
  <c r="AB28" i="13"/>
  <c r="V28" i="13"/>
  <c r="P28" i="13"/>
  <c r="K28" i="13"/>
  <c r="BO28" i="13"/>
  <c r="BI28" i="13"/>
  <c r="BC28" i="13"/>
  <c r="AX28" i="13"/>
  <c r="AQ28" i="13"/>
  <c r="AL28" i="13"/>
  <c r="AF28" i="13"/>
  <c r="Z28" i="13"/>
  <c r="U28" i="13"/>
  <c r="O28" i="13"/>
  <c r="I28" i="13"/>
  <c r="BH28" i="13"/>
  <c r="AK28" i="13"/>
  <c r="M28" i="13"/>
  <c r="BB28" i="13"/>
  <c r="AD28" i="13"/>
  <c r="H28" i="13"/>
  <c r="BS28" i="13"/>
  <c r="AV28" i="13"/>
  <c r="Y28" i="13"/>
  <c r="BM28" i="13"/>
  <c r="AP28" i="13"/>
  <c r="S28" i="13"/>
  <c r="I24" i="13"/>
  <c r="BM24" i="13"/>
  <c r="AV24" i="13"/>
  <c r="AD24" i="13"/>
  <c r="M24" i="13"/>
  <c r="BI20" i="13"/>
  <c r="AQ20" i="13"/>
  <c r="Z20" i="13"/>
  <c r="I20" i="13"/>
  <c r="AV20" i="13"/>
  <c r="AD20" i="13"/>
  <c r="M20" i="13"/>
  <c r="BM20" i="13"/>
  <c r="BI16" i="13"/>
  <c r="AQ16" i="13"/>
  <c r="Z16" i="13"/>
  <c r="I16" i="13"/>
  <c r="AD16" i="13"/>
  <c r="M16" i="13"/>
  <c r="BM16" i="13"/>
  <c r="AV16" i="13"/>
  <c r="BI12" i="13"/>
  <c r="AQ12" i="13"/>
  <c r="Z12" i="13"/>
  <c r="I12" i="13"/>
  <c r="M12" i="13"/>
  <c r="BM12" i="13"/>
  <c r="AV12" i="13"/>
  <c r="AD12" i="13"/>
  <c r="BI8" i="13"/>
  <c r="AQ8" i="13"/>
  <c r="Z8" i="13"/>
  <c r="I8" i="13"/>
  <c r="BM8" i="13"/>
  <c r="AV8" i="13"/>
  <c r="AD8" i="13"/>
  <c r="M8" i="13"/>
  <c r="J25" i="13"/>
  <c r="AF25" i="13"/>
  <c r="BC25" i="13"/>
  <c r="P25" i="13"/>
  <c r="AM25" i="13"/>
  <c r="BK25" i="13"/>
  <c r="Q25" i="13"/>
  <c r="AO25" i="13"/>
  <c r="BL25" i="13"/>
  <c r="W25" i="13"/>
  <c r="AN25" i="13"/>
  <c r="BE25" i="13"/>
  <c r="BI24" i="13"/>
  <c r="AV23" i="13"/>
  <c r="BD21" i="13"/>
  <c r="N21" i="13"/>
  <c r="AE21" i="13"/>
  <c r="AW21" i="13"/>
  <c r="BN21" i="13"/>
  <c r="S21" i="13"/>
  <c r="AK21" i="13"/>
  <c r="BB21" i="13"/>
  <c r="BS21" i="13"/>
  <c r="U21" i="13"/>
  <c r="AL21" i="13"/>
  <c r="BC21" i="13"/>
  <c r="J17" i="13"/>
  <c r="AA17" i="13"/>
  <c r="AR17" i="13"/>
  <c r="BJ17" i="13"/>
  <c r="O17" i="13"/>
  <c r="AF17" i="13"/>
  <c r="AX17" i="13"/>
  <c r="BO17" i="13"/>
  <c r="P17" i="13"/>
  <c r="AH17" i="13"/>
  <c r="AY17" i="13"/>
  <c r="BP17" i="13"/>
  <c r="V13" i="13"/>
  <c r="W13" i="13"/>
  <c r="AN13" i="13"/>
  <c r="BE13" i="13"/>
  <c r="K13" i="13"/>
  <c r="AB13" i="13"/>
  <c r="AS13" i="13"/>
  <c r="BK13" i="13"/>
  <c r="L13" i="13"/>
  <c r="AC13" i="13"/>
  <c r="AU13" i="13"/>
  <c r="BL13" i="13"/>
  <c r="AM9" i="13"/>
  <c r="R9" i="13"/>
  <c r="AJ9" i="13"/>
  <c r="BA9" i="13"/>
  <c r="BR9" i="13"/>
  <c r="X9" i="13"/>
  <c r="AO9" i="13"/>
  <c r="BF9" i="13"/>
  <c r="H9" i="13"/>
  <c r="Y9" i="13"/>
  <c r="AP9" i="13"/>
  <c r="BH9" i="13"/>
  <c r="AT55" i="11"/>
  <c r="BG53" i="11"/>
  <c r="AP25" i="13"/>
  <c r="V24" i="13"/>
  <c r="W24" i="13"/>
  <c r="AN24" i="13"/>
  <c r="BE24" i="13"/>
  <c r="K24" i="13"/>
  <c r="AB24" i="13"/>
  <c r="AS24" i="13"/>
  <c r="BK24" i="13"/>
  <c r="L24" i="13"/>
  <c r="AC24" i="13"/>
  <c r="AU24" i="13"/>
  <c r="BL24" i="13"/>
  <c r="Z23" i="13"/>
  <c r="Q21" i="13"/>
  <c r="V20" i="13"/>
  <c r="W20" i="13"/>
  <c r="AN20" i="13"/>
  <c r="BE20" i="13"/>
  <c r="K20" i="13"/>
  <c r="AB20" i="13"/>
  <c r="AS20" i="13"/>
  <c r="BK20" i="13"/>
  <c r="L20" i="13"/>
  <c r="AC20" i="13"/>
  <c r="AU20" i="13"/>
  <c r="BL20" i="13"/>
  <c r="Z19" i="13"/>
  <c r="Q17" i="13"/>
  <c r="V16" i="13"/>
  <c r="W16" i="13"/>
  <c r="AN16" i="13"/>
  <c r="BE16" i="13"/>
  <c r="K16" i="13"/>
  <c r="AB16" i="13"/>
  <c r="AS16" i="13"/>
  <c r="BK16" i="13"/>
  <c r="L16" i="13"/>
  <c r="AC16" i="13"/>
  <c r="AU16" i="13"/>
  <c r="BL16" i="13"/>
  <c r="Z15" i="13"/>
  <c r="Q13" i="13"/>
  <c r="V12" i="13"/>
  <c r="W12" i="13"/>
  <c r="AN12" i="13"/>
  <c r="BE12" i="13"/>
  <c r="K12" i="13"/>
  <c r="AB12" i="13"/>
  <c r="AS12" i="13"/>
  <c r="BK12" i="13"/>
  <c r="L12" i="13"/>
  <c r="AC12" i="13"/>
  <c r="AU12" i="13"/>
  <c r="BL12" i="13"/>
  <c r="Z11" i="13"/>
  <c r="Q9" i="13"/>
  <c r="V8" i="13"/>
  <c r="W8" i="13"/>
  <c r="AN8" i="13"/>
  <c r="BE8" i="13"/>
  <c r="K8" i="13"/>
  <c r="AB8" i="13"/>
  <c r="AS8" i="13"/>
  <c r="BK8" i="13"/>
  <c r="L8" i="13"/>
  <c r="AC8" i="13"/>
  <c r="AU8" i="13"/>
  <c r="BL8" i="13"/>
  <c r="BI59" i="11"/>
  <c r="AI59" i="11"/>
  <c r="BH25" i="13"/>
  <c r="AI24" i="13"/>
  <c r="AM23" i="13"/>
  <c r="R23" i="13"/>
  <c r="AJ23" i="13"/>
  <c r="BA23" i="13"/>
  <c r="BR23" i="13"/>
  <c r="X23" i="13"/>
  <c r="AO23" i="13"/>
  <c r="BF23" i="13"/>
  <c r="H23" i="13"/>
  <c r="Y23" i="13"/>
  <c r="AP23" i="13"/>
  <c r="AV21" i="13"/>
  <c r="AI20" i="13"/>
  <c r="AM19" i="13"/>
  <c r="R19" i="13"/>
  <c r="AJ19" i="13"/>
  <c r="BA19" i="13"/>
  <c r="BR19" i="13"/>
  <c r="X19" i="13"/>
  <c r="AO19" i="13"/>
  <c r="BF19" i="13"/>
  <c r="H19" i="13"/>
  <c r="Y19" i="13"/>
  <c r="AP19" i="13"/>
  <c r="AV17" i="13"/>
  <c r="AI16" i="13"/>
  <c r="AM15" i="13"/>
  <c r="R15" i="13"/>
  <c r="AJ15" i="13"/>
  <c r="BA15" i="13"/>
  <c r="BR15" i="13"/>
  <c r="X15" i="13"/>
  <c r="AO15" i="13"/>
  <c r="BF15" i="13"/>
  <c r="H15" i="13"/>
  <c r="Y15" i="13"/>
  <c r="AP15" i="13"/>
  <c r="AV13" i="13"/>
  <c r="AI12" i="13"/>
  <c r="AM11" i="13"/>
  <c r="R11" i="13"/>
  <c r="AJ11" i="13"/>
  <c r="BA11" i="13"/>
  <c r="BR11" i="13"/>
  <c r="X11" i="13"/>
  <c r="AO11" i="13"/>
  <c r="BF11" i="13"/>
  <c r="H11" i="13"/>
  <c r="Y11" i="13"/>
  <c r="AP11" i="13"/>
  <c r="AV9" i="13"/>
  <c r="AI8" i="13"/>
  <c r="BQ17" i="13"/>
  <c r="Z10" i="13"/>
  <c r="AD10" i="13"/>
  <c r="AI10" i="13"/>
  <c r="N10" i="13"/>
  <c r="AE10" i="13"/>
  <c r="AW10" i="13"/>
  <c r="BN10" i="13"/>
  <c r="S10" i="13"/>
  <c r="AK10" i="13"/>
  <c r="BB10" i="13"/>
  <c r="BS10" i="13"/>
  <c r="U10" i="13"/>
  <c r="AL10" i="13"/>
  <c r="BC10" i="13"/>
  <c r="BQ8" i="13"/>
  <c r="BG27" i="11"/>
  <c r="BI14" i="13"/>
  <c r="BM14" i="13"/>
  <c r="BQ14" i="13"/>
  <c r="W14" i="13"/>
  <c r="AN14" i="13"/>
  <c r="BE14" i="13"/>
  <c r="K14" i="13"/>
  <c r="AB14" i="13"/>
  <c r="AS14" i="13"/>
  <c r="BK14" i="13"/>
  <c r="L14" i="13"/>
  <c r="AC14" i="13"/>
  <c r="AU14" i="13"/>
  <c r="BL14" i="13"/>
  <c r="AG29" i="11"/>
  <c r="I18" i="13"/>
  <c r="M18" i="13"/>
  <c r="Q18" i="13"/>
  <c r="J18" i="13"/>
  <c r="AA18" i="13"/>
  <c r="AR18" i="13"/>
  <c r="BJ18" i="13"/>
  <c r="O18" i="13"/>
  <c r="AF18" i="13"/>
  <c r="AX18" i="13"/>
  <c r="BO18" i="13"/>
  <c r="P18" i="13"/>
  <c r="AH18" i="13"/>
  <c r="AY18" i="13"/>
  <c r="BP18" i="13"/>
  <c r="J45" i="11"/>
  <c r="AU45" i="11"/>
  <c r="AJ45" i="11"/>
  <c r="AT27" i="11"/>
  <c r="BT15" i="11"/>
  <c r="AM22" i="13"/>
  <c r="AQ22" i="13"/>
  <c r="AV22" i="13"/>
  <c r="AZ22" i="13"/>
  <c r="R22" i="13"/>
  <c r="AJ22" i="13"/>
  <c r="BA22" i="13"/>
  <c r="BR22" i="13"/>
  <c r="X22" i="13"/>
  <c r="AO22" i="13"/>
  <c r="BF22" i="13"/>
  <c r="H22" i="13"/>
  <c r="Y22" i="13"/>
  <c r="AP22" i="13"/>
  <c r="BH22" i="13"/>
  <c r="W31" i="11"/>
  <c r="U25" i="3" s="1"/>
  <c r="AJ31" i="11"/>
  <c r="AH25" i="3" s="1"/>
  <c r="AG21" i="11"/>
  <c r="U31" i="11"/>
  <c r="S25" i="3" s="1"/>
  <c r="AA13" i="11"/>
  <c r="AB14" i="11"/>
  <c r="BL8" i="11"/>
  <c r="BK7" i="11"/>
  <c r="X36" i="7"/>
  <c r="L73" i="7"/>
  <c r="X73" i="7" s="1"/>
  <c r="AE38" i="11"/>
  <c r="AD37" i="11"/>
  <c r="AX66" i="11"/>
  <c r="AY8" i="11"/>
  <c r="K7" i="11"/>
  <c r="K17" i="11" s="1"/>
  <c r="I40" i="3" s="1"/>
  <c r="S95" i="6"/>
  <c r="G97" i="6"/>
  <c r="H75" i="6"/>
  <c r="AZ14" i="11"/>
  <c r="AY13" i="11"/>
  <c r="H17" i="11"/>
  <c r="F40" i="3" s="1"/>
  <c r="BH17" i="11"/>
  <c r="BF40" i="3" s="1"/>
  <c r="AH17" i="11"/>
  <c r="AF40" i="3" s="1"/>
  <c r="BR97" i="6"/>
  <c r="AL97" i="6"/>
  <c r="BL97" i="6"/>
  <c r="AV97" i="6"/>
  <c r="R26" i="11"/>
  <c r="Q25" i="11"/>
  <c r="BF16" i="11"/>
  <c r="BF15" i="11" s="1"/>
  <c r="BE15" i="11"/>
  <c r="BE97" i="6"/>
  <c r="AI97" i="6"/>
  <c r="BT89" i="6"/>
  <c r="AS53" i="6"/>
  <c r="O71" i="16"/>
  <c r="P71" i="16" s="1"/>
  <c r="J71" i="16"/>
  <c r="E114" i="16"/>
  <c r="E94" i="16"/>
  <c r="O54" i="16"/>
  <c r="P54" i="16" s="1"/>
  <c r="J54" i="16"/>
  <c r="E116" i="16"/>
  <c r="U51" i="16"/>
  <c r="AA51" i="16" s="1"/>
  <c r="L51" i="16"/>
  <c r="K51" i="16"/>
  <c r="I115" i="16"/>
  <c r="R74" i="16"/>
  <c r="Q74" i="16"/>
  <c r="U75" i="16"/>
  <c r="AA75" i="16" s="1"/>
  <c r="L75" i="16"/>
  <c r="K75" i="16"/>
  <c r="E101" i="16"/>
  <c r="I97" i="16"/>
  <c r="Q56" i="16"/>
  <c r="R56" i="16"/>
  <c r="I87" i="16"/>
  <c r="R46" i="16"/>
  <c r="Q46" i="16"/>
  <c r="K50" i="16"/>
  <c r="L50" i="16"/>
  <c r="U50" i="16"/>
  <c r="AA50" i="16" s="1"/>
  <c r="E90" i="16"/>
  <c r="M10" i="14"/>
  <c r="N11" i="14"/>
  <c r="BS101" i="13"/>
  <c r="BO101" i="13"/>
  <c r="BK101" i="13"/>
  <c r="BF101" i="13"/>
  <c r="BB101" i="13"/>
  <c r="AX101" i="13"/>
  <c r="AS101" i="13"/>
  <c r="AO101" i="13"/>
  <c r="AK101" i="13"/>
  <c r="AF101" i="13"/>
  <c r="AB101" i="13"/>
  <c r="X101" i="13"/>
  <c r="S101" i="13"/>
  <c r="O101" i="13"/>
  <c r="K101" i="13"/>
  <c r="BR101" i="13"/>
  <c r="BN101" i="13"/>
  <c r="BJ101" i="13"/>
  <c r="BE101" i="13"/>
  <c r="BA101" i="13"/>
  <c r="AW101" i="13"/>
  <c r="AR101" i="13"/>
  <c r="AN101" i="13"/>
  <c r="AJ101" i="13"/>
  <c r="AE101" i="13"/>
  <c r="AA101" i="13"/>
  <c r="W101" i="13"/>
  <c r="R101" i="13"/>
  <c r="N101" i="13"/>
  <c r="J101" i="13"/>
  <c r="BQ101" i="13"/>
  <c r="BM101" i="13"/>
  <c r="BI101" i="13"/>
  <c r="BD101" i="13"/>
  <c r="AZ101" i="13"/>
  <c r="AV101" i="13"/>
  <c r="AQ101" i="13"/>
  <c r="AM101" i="13"/>
  <c r="AI101" i="13"/>
  <c r="AD101" i="13"/>
  <c r="Z101" i="13"/>
  <c r="V101" i="13"/>
  <c r="Q101" i="13"/>
  <c r="M101" i="13"/>
  <c r="I101" i="13"/>
  <c r="BP101" i="13"/>
  <c r="BL101" i="13"/>
  <c r="BH101" i="13"/>
  <c r="BC101" i="13"/>
  <c r="AY101" i="13"/>
  <c r="AU101" i="13"/>
  <c r="AP101" i="13"/>
  <c r="AL101" i="13"/>
  <c r="AH101" i="13"/>
  <c r="AC101" i="13"/>
  <c r="Y101" i="13"/>
  <c r="U101" i="13"/>
  <c r="P101" i="13"/>
  <c r="L101" i="13"/>
  <c r="H101" i="13"/>
  <c r="BP94" i="13"/>
  <c r="BL94" i="13"/>
  <c r="BH94" i="13"/>
  <c r="BC94" i="13"/>
  <c r="AY94" i="13"/>
  <c r="AU94" i="13"/>
  <c r="AP94" i="13"/>
  <c r="AL94" i="13"/>
  <c r="AH94" i="13"/>
  <c r="AC94" i="13"/>
  <c r="Y94" i="13"/>
  <c r="U94" i="13"/>
  <c r="P94" i="13"/>
  <c r="L94" i="13"/>
  <c r="H94" i="13"/>
  <c r="BS94" i="13"/>
  <c r="BO94" i="13"/>
  <c r="BK94" i="13"/>
  <c r="BF94" i="13"/>
  <c r="BB94" i="13"/>
  <c r="AX94" i="13"/>
  <c r="AS94" i="13"/>
  <c r="AO94" i="13"/>
  <c r="AK94" i="13"/>
  <c r="AF94" i="13"/>
  <c r="AB94" i="13"/>
  <c r="X94" i="13"/>
  <c r="S94" i="13"/>
  <c r="O94" i="13"/>
  <c r="K94" i="13"/>
  <c r="BR94" i="13"/>
  <c r="BN94" i="13"/>
  <c r="BJ94" i="13"/>
  <c r="BE94" i="13"/>
  <c r="BA94" i="13"/>
  <c r="AW94" i="13"/>
  <c r="AR94" i="13"/>
  <c r="AN94" i="13"/>
  <c r="AJ94" i="13"/>
  <c r="AE94" i="13"/>
  <c r="AA94" i="13"/>
  <c r="W94" i="13"/>
  <c r="R94" i="13"/>
  <c r="N94" i="13"/>
  <c r="J94" i="13"/>
  <c r="BQ94" i="13"/>
  <c r="BM94" i="13"/>
  <c r="BI94" i="13"/>
  <c r="BD94" i="13"/>
  <c r="AZ94" i="13"/>
  <c r="AV94" i="13"/>
  <c r="AQ94" i="13"/>
  <c r="AM94" i="13"/>
  <c r="AI94" i="13"/>
  <c r="AD94" i="13"/>
  <c r="Z94" i="13"/>
  <c r="V94" i="13"/>
  <c r="Q94" i="13"/>
  <c r="M94" i="13"/>
  <c r="I94" i="13"/>
  <c r="BP90" i="13"/>
  <c r="BL90" i="13"/>
  <c r="BH90" i="13"/>
  <c r="BC90" i="13"/>
  <c r="AY90" i="13"/>
  <c r="AU90" i="13"/>
  <c r="AP90" i="13"/>
  <c r="AL90" i="13"/>
  <c r="AH90" i="13"/>
  <c r="AC90" i="13"/>
  <c r="Y90" i="13"/>
  <c r="U90" i="13"/>
  <c r="P90" i="13"/>
  <c r="L90" i="13"/>
  <c r="H90" i="13"/>
  <c r="BS90" i="13"/>
  <c r="BO90" i="13"/>
  <c r="BK90" i="13"/>
  <c r="BF90" i="13"/>
  <c r="BB90" i="13"/>
  <c r="AX90" i="13"/>
  <c r="AS90" i="13"/>
  <c r="AO90" i="13"/>
  <c r="AK90" i="13"/>
  <c r="AF90" i="13"/>
  <c r="AB90" i="13"/>
  <c r="X90" i="13"/>
  <c r="S90" i="13"/>
  <c r="O90" i="13"/>
  <c r="K90" i="13"/>
  <c r="BR90" i="13"/>
  <c r="BN90" i="13"/>
  <c r="BJ90" i="13"/>
  <c r="BE90" i="13"/>
  <c r="BA90" i="13"/>
  <c r="AW90" i="13"/>
  <c r="AR90" i="13"/>
  <c r="AN90" i="13"/>
  <c r="AJ90" i="13"/>
  <c r="AE90" i="13"/>
  <c r="AA90" i="13"/>
  <c r="W90" i="13"/>
  <c r="R90" i="13"/>
  <c r="N90" i="13"/>
  <c r="J90" i="13"/>
  <c r="BQ90" i="13"/>
  <c r="BM90" i="13"/>
  <c r="BI90" i="13"/>
  <c r="BD90" i="13"/>
  <c r="AZ90" i="13"/>
  <c r="AV90" i="13"/>
  <c r="AQ90" i="13"/>
  <c r="AM90" i="13"/>
  <c r="AI90" i="13"/>
  <c r="AD90" i="13"/>
  <c r="Z90" i="13"/>
  <c r="V90" i="13"/>
  <c r="Q90" i="13"/>
  <c r="M90" i="13"/>
  <c r="I90" i="13"/>
  <c r="BP86" i="13"/>
  <c r="BL86" i="13"/>
  <c r="BH86" i="13"/>
  <c r="BC86" i="13"/>
  <c r="AY86" i="13"/>
  <c r="AU86" i="13"/>
  <c r="AP86" i="13"/>
  <c r="AL86" i="13"/>
  <c r="AH86" i="13"/>
  <c r="AC86" i="13"/>
  <c r="Y86" i="13"/>
  <c r="U86" i="13"/>
  <c r="P86" i="13"/>
  <c r="L86" i="13"/>
  <c r="H86" i="13"/>
  <c r="BS86" i="13"/>
  <c r="BO86" i="13"/>
  <c r="BK86" i="13"/>
  <c r="BF86" i="13"/>
  <c r="BB86" i="13"/>
  <c r="AX86" i="13"/>
  <c r="AS86" i="13"/>
  <c r="AO86" i="13"/>
  <c r="AK86" i="13"/>
  <c r="AF86" i="13"/>
  <c r="AB86" i="13"/>
  <c r="X86" i="13"/>
  <c r="S86" i="13"/>
  <c r="O86" i="13"/>
  <c r="K86" i="13"/>
  <c r="BR86" i="13"/>
  <c r="BN86" i="13"/>
  <c r="BJ86" i="13"/>
  <c r="BE86" i="13"/>
  <c r="BA86" i="13"/>
  <c r="AW86" i="13"/>
  <c r="AR86" i="13"/>
  <c r="AN86" i="13"/>
  <c r="AJ86" i="13"/>
  <c r="AE86" i="13"/>
  <c r="AA86" i="13"/>
  <c r="W86" i="13"/>
  <c r="R86" i="13"/>
  <c r="N86" i="13"/>
  <c r="J86" i="13"/>
  <c r="BQ86" i="13"/>
  <c r="BM86" i="13"/>
  <c r="BI86" i="13"/>
  <c r="BD86" i="13"/>
  <c r="AZ86" i="13"/>
  <c r="AV86" i="13"/>
  <c r="AQ86" i="13"/>
  <c r="AM86" i="13"/>
  <c r="AI86" i="13"/>
  <c r="AD86" i="13"/>
  <c r="Z86" i="13"/>
  <c r="V86" i="13"/>
  <c r="Q86" i="13"/>
  <c r="M86" i="13"/>
  <c r="I86" i="13"/>
  <c r="BP82" i="13"/>
  <c r="BL82" i="13"/>
  <c r="BH82" i="13"/>
  <c r="BC82" i="13"/>
  <c r="AY82" i="13"/>
  <c r="AU82" i="13"/>
  <c r="AP82" i="13"/>
  <c r="AL82" i="13"/>
  <c r="AH82" i="13"/>
  <c r="AC82" i="13"/>
  <c r="Y82" i="13"/>
  <c r="U82" i="13"/>
  <c r="P82" i="13"/>
  <c r="L82" i="13"/>
  <c r="H82" i="13"/>
  <c r="BS82" i="13"/>
  <c r="BO82" i="13"/>
  <c r="BK82" i="13"/>
  <c r="BF82" i="13"/>
  <c r="BB82" i="13"/>
  <c r="AX82" i="13"/>
  <c r="AS82" i="13"/>
  <c r="AO82" i="13"/>
  <c r="AK82" i="13"/>
  <c r="AF82" i="13"/>
  <c r="AB82" i="13"/>
  <c r="X82" i="13"/>
  <c r="S82" i="13"/>
  <c r="O82" i="13"/>
  <c r="K82" i="13"/>
  <c r="BR82" i="13"/>
  <c r="BN82" i="13"/>
  <c r="BJ82" i="13"/>
  <c r="BE82" i="13"/>
  <c r="BA82" i="13"/>
  <c r="AW82" i="13"/>
  <c r="AR82" i="13"/>
  <c r="AN82" i="13"/>
  <c r="AJ82" i="13"/>
  <c r="AE82" i="13"/>
  <c r="AA82" i="13"/>
  <c r="W82" i="13"/>
  <c r="R82" i="13"/>
  <c r="N82" i="13"/>
  <c r="J82" i="13"/>
  <c r="BQ82" i="13"/>
  <c r="BM82" i="13"/>
  <c r="BI82" i="13"/>
  <c r="BD82" i="13"/>
  <c r="AZ82" i="13"/>
  <c r="AV82" i="13"/>
  <c r="AQ82" i="13"/>
  <c r="AM82" i="13"/>
  <c r="AI82" i="13"/>
  <c r="AD82" i="13"/>
  <c r="Z82" i="13"/>
  <c r="V82" i="13"/>
  <c r="Q82" i="13"/>
  <c r="M82" i="13"/>
  <c r="I82" i="13"/>
  <c r="AI68" i="13"/>
  <c r="Q68" i="13"/>
  <c r="BQ68" i="13"/>
  <c r="AZ68" i="13"/>
  <c r="BI70" i="13"/>
  <c r="AQ70" i="13"/>
  <c r="Z70" i="13"/>
  <c r="I70" i="13"/>
  <c r="BD69" i="13"/>
  <c r="AM69" i="13"/>
  <c r="V69" i="13"/>
  <c r="AL80" i="13"/>
  <c r="AD80" i="13"/>
  <c r="AV80" i="13"/>
  <c r="BM80" i="13"/>
  <c r="R80" i="13"/>
  <c r="AJ80" i="13"/>
  <c r="BA80" i="13"/>
  <c r="BR80" i="13"/>
  <c r="X80" i="13"/>
  <c r="AO80" i="13"/>
  <c r="BF80" i="13"/>
  <c r="BC80" i="13"/>
  <c r="BM79" i="13"/>
  <c r="AD79" i="13"/>
  <c r="N79" i="13"/>
  <c r="AE79" i="13"/>
  <c r="AW79" i="13"/>
  <c r="BN79" i="13"/>
  <c r="S79" i="13"/>
  <c r="AK79" i="13"/>
  <c r="BB79" i="13"/>
  <c r="BS79" i="13"/>
  <c r="BH70" i="13"/>
  <c r="AP70" i="13"/>
  <c r="Y70" i="13"/>
  <c r="H70" i="13"/>
  <c r="BC69" i="13"/>
  <c r="AL69" i="13"/>
  <c r="U69" i="13"/>
  <c r="I68" i="13"/>
  <c r="Q66" i="13"/>
  <c r="AM68" i="13"/>
  <c r="P68" i="13"/>
  <c r="AH68" i="13"/>
  <c r="AY68" i="13"/>
  <c r="BP68" i="13"/>
  <c r="W68" i="13"/>
  <c r="AN68" i="13"/>
  <c r="BE68" i="13"/>
  <c r="K68" i="13"/>
  <c r="AB68" i="13"/>
  <c r="AS68" i="13"/>
  <c r="BK68" i="13"/>
  <c r="BD66" i="13"/>
  <c r="L66" i="13"/>
  <c r="AC66" i="13"/>
  <c r="AU66" i="13"/>
  <c r="BL66" i="13"/>
  <c r="R66" i="13"/>
  <c r="AJ66" i="13"/>
  <c r="BA66" i="13"/>
  <c r="BR66" i="13"/>
  <c r="X66" i="13"/>
  <c r="AO66" i="13"/>
  <c r="BF66" i="13"/>
  <c r="BS60" i="13"/>
  <c r="BO60" i="13"/>
  <c r="BK60" i="13"/>
  <c r="BF60" i="13"/>
  <c r="BB60" i="13"/>
  <c r="AX60" i="13"/>
  <c r="AS60" i="13"/>
  <c r="AO60" i="13"/>
  <c r="AK60" i="13"/>
  <c r="AF60" i="13"/>
  <c r="AB60" i="13"/>
  <c r="X60" i="13"/>
  <c r="S60" i="13"/>
  <c r="O60" i="13"/>
  <c r="K60" i="13"/>
  <c r="BN60" i="13"/>
  <c r="BI60" i="13"/>
  <c r="BC60" i="13"/>
  <c r="AW60" i="13"/>
  <c r="AQ60" i="13"/>
  <c r="AL60" i="13"/>
  <c r="AE60" i="13"/>
  <c r="Z60" i="13"/>
  <c r="U60" i="13"/>
  <c r="N60" i="13"/>
  <c r="I60" i="13"/>
  <c r="BR60" i="13"/>
  <c r="BM60" i="13"/>
  <c r="BH60" i="13"/>
  <c r="BA60" i="13"/>
  <c r="AV60" i="13"/>
  <c r="AP60" i="13"/>
  <c r="AJ60" i="13"/>
  <c r="AD60" i="13"/>
  <c r="Y60" i="13"/>
  <c r="R60" i="13"/>
  <c r="M60" i="13"/>
  <c r="H60" i="13"/>
  <c r="BP60" i="13"/>
  <c r="BJ60" i="13"/>
  <c r="BD60" i="13"/>
  <c r="AY60" i="13"/>
  <c r="AR60" i="13"/>
  <c r="AM60" i="13"/>
  <c r="AH60" i="13"/>
  <c r="AA60" i="13"/>
  <c r="V60" i="13"/>
  <c r="P60" i="13"/>
  <c r="J60" i="13"/>
  <c r="AZ60" i="13"/>
  <c r="AC60" i="13"/>
  <c r="BQ60" i="13"/>
  <c r="AU60" i="13"/>
  <c r="W60" i="13"/>
  <c r="BL60" i="13"/>
  <c r="AN60" i="13"/>
  <c r="Q60" i="13"/>
  <c r="BE60" i="13"/>
  <c r="AI60" i="13"/>
  <c r="L60" i="13"/>
  <c r="BR39" i="13"/>
  <c r="BN39" i="13"/>
  <c r="BJ39" i="13"/>
  <c r="BE39" i="13"/>
  <c r="BA39" i="13"/>
  <c r="AW39" i="13"/>
  <c r="AR39" i="13"/>
  <c r="AN39" i="13"/>
  <c r="AJ39" i="13"/>
  <c r="AE39" i="13"/>
  <c r="AA39" i="13"/>
  <c r="W39" i="13"/>
  <c r="R39" i="13"/>
  <c r="N39" i="13"/>
  <c r="J39" i="13"/>
  <c r="BQ39" i="13"/>
  <c r="BM39" i="13"/>
  <c r="BI39" i="13"/>
  <c r="BD39" i="13"/>
  <c r="AZ39" i="13"/>
  <c r="AV39" i="13"/>
  <c r="AQ39" i="13"/>
  <c r="AM39" i="13"/>
  <c r="AI39" i="13"/>
  <c r="AD39" i="13"/>
  <c r="Z39" i="13"/>
  <c r="V39" i="13"/>
  <c r="Q39" i="13"/>
  <c r="M39" i="13"/>
  <c r="I39" i="13"/>
  <c r="BP39" i="13"/>
  <c r="BL39" i="13"/>
  <c r="BH39" i="13"/>
  <c r="BC39" i="13"/>
  <c r="AY39" i="13"/>
  <c r="AU39" i="13"/>
  <c r="AP39" i="13"/>
  <c r="AL39" i="13"/>
  <c r="AH39" i="13"/>
  <c r="AC39" i="13"/>
  <c r="Y39" i="13"/>
  <c r="U39" i="13"/>
  <c r="P39" i="13"/>
  <c r="L39" i="13"/>
  <c r="H39" i="13"/>
  <c r="BS39" i="13"/>
  <c r="BO39" i="13"/>
  <c r="BK39" i="13"/>
  <c r="BF39" i="13"/>
  <c r="AX39" i="13"/>
  <c r="AF39" i="13"/>
  <c r="O39" i="13"/>
  <c r="AS39" i="13"/>
  <c r="AB39" i="13"/>
  <c r="K39" i="13"/>
  <c r="AO39" i="13"/>
  <c r="X39" i="13"/>
  <c r="AK39" i="13"/>
  <c r="S39" i="13"/>
  <c r="BB39" i="13"/>
  <c r="AZ67" i="13"/>
  <c r="AQ67" i="13"/>
  <c r="AV67" i="13"/>
  <c r="P67" i="13"/>
  <c r="AH67" i="13"/>
  <c r="AY67" i="13"/>
  <c r="BP67" i="13"/>
  <c r="W67" i="13"/>
  <c r="AN67" i="13"/>
  <c r="BE67" i="13"/>
  <c r="K67" i="13"/>
  <c r="AB67" i="13"/>
  <c r="AS67" i="13"/>
  <c r="BR34" i="13"/>
  <c r="BN34" i="13"/>
  <c r="BJ34" i="13"/>
  <c r="BE34" i="13"/>
  <c r="BA34" i="13"/>
  <c r="AW34" i="13"/>
  <c r="AR34" i="13"/>
  <c r="AN34" i="13"/>
  <c r="AJ34" i="13"/>
  <c r="AE34" i="13"/>
  <c r="AA34" i="13"/>
  <c r="W34" i="13"/>
  <c r="R34" i="13"/>
  <c r="N34" i="13"/>
  <c r="J34" i="13"/>
  <c r="BQ34" i="13"/>
  <c r="BM34" i="13"/>
  <c r="BI34" i="13"/>
  <c r="BD34" i="13"/>
  <c r="AZ34" i="13"/>
  <c r="AV34" i="13"/>
  <c r="AQ34" i="13"/>
  <c r="AM34" i="13"/>
  <c r="AI34" i="13"/>
  <c r="AD34" i="13"/>
  <c r="Z34" i="13"/>
  <c r="V34" i="13"/>
  <c r="Q34" i="13"/>
  <c r="M34" i="13"/>
  <c r="I34" i="13"/>
  <c r="BL34" i="13"/>
  <c r="BC34" i="13"/>
  <c r="AU34" i="13"/>
  <c r="AL34" i="13"/>
  <c r="AC34" i="13"/>
  <c r="U34" i="13"/>
  <c r="L34" i="13"/>
  <c r="BS34" i="13"/>
  <c r="BK34" i="13"/>
  <c r="BB34" i="13"/>
  <c r="AS34" i="13"/>
  <c r="AK34" i="13"/>
  <c r="AB34" i="13"/>
  <c r="S34" i="13"/>
  <c r="K34" i="13"/>
  <c r="BP34" i="13"/>
  <c r="BH34" i="13"/>
  <c r="AY34" i="13"/>
  <c r="AP34" i="13"/>
  <c r="AH34" i="13"/>
  <c r="Y34" i="13"/>
  <c r="P34" i="13"/>
  <c r="H34" i="13"/>
  <c r="BF34" i="13"/>
  <c r="X34" i="13"/>
  <c r="AX34" i="13"/>
  <c r="O34" i="13"/>
  <c r="AO34" i="13"/>
  <c r="BO34" i="13"/>
  <c r="AF34" i="13"/>
  <c r="BR32" i="13"/>
  <c r="BN32" i="13"/>
  <c r="BJ32" i="13"/>
  <c r="BE32" i="13"/>
  <c r="BA32" i="13"/>
  <c r="AW32" i="13"/>
  <c r="AR32" i="13"/>
  <c r="AN32" i="13"/>
  <c r="AJ32" i="13"/>
  <c r="AE32" i="13"/>
  <c r="AA32" i="13"/>
  <c r="W32" i="13"/>
  <c r="R32" i="13"/>
  <c r="N32" i="13"/>
  <c r="J32" i="13"/>
  <c r="BQ32" i="13"/>
  <c r="BM32" i="13"/>
  <c r="BI32" i="13"/>
  <c r="BD32" i="13"/>
  <c r="AZ32" i="13"/>
  <c r="AV32" i="13"/>
  <c r="AQ32" i="13"/>
  <c r="AM32" i="13"/>
  <c r="AI32" i="13"/>
  <c r="AD32" i="13"/>
  <c r="Z32" i="13"/>
  <c r="V32" i="13"/>
  <c r="Q32" i="13"/>
  <c r="M32" i="13"/>
  <c r="I32" i="13"/>
  <c r="BL32" i="13"/>
  <c r="BC32" i="13"/>
  <c r="AU32" i="13"/>
  <c r="AL32" i="13"/>
  <c r="AC32" i="13"/>
  <c r="U32" i="13"/>
  <c r="L32" i="13"/>
  <c r="BS32" i="13"/>
  <c r="BK32" i="13"/>
  <c r="BB32" i="13"/>
  <c r="AS32" i="13"/>
  <c r="AK32" i="13"/>
  <c r="AB32" i="13"/>
  <c r="S32" i="13"/>
  <c r="K32" i="13"/>
  <c r="BP32" i="13"/>
  <c r="BH32" i="13"/>
  <c r="AY32" i="13"/>
  <c r="AP32" i="13"/>
  <c r="AH32" i="13"/>
  <c r="Y32" i="13"/>
  <c r="P32" i="13"/>
  <c r="H32" i="13"/>
  <c r="AO32" i="13"/>
  <c r="BO32" i="13"/>
  <c r="AF32" i="13"/>
  <c r="BF32" i="13"/>
  <c r="X32" i="13"/>
  <c r="AX32" i="13"/>
  <c r="O32" i="13"/>
  <c r="BR30" i="13"/>
  <c r="BN30" i="13"/>
  <c r="BJ30" i="13"/>
  <c r="BE30" i="13"/>
  <c r="BA30" i="13"/>
  <c r="AW30" i="13"/>
  <c r="AR30" i="13"/>
  <c r="AN30" i="13"/>
  <c r="AJ30" i="13"/>
  <c r="AE30" i="13"/>
  <c r="AA30" i="13"/>
  <c r="W30" i="13"/>
  <c r="R30" i="13"/>
  <c r="N30" i="13"/>
  <c r="J30" i="13"/>
  <c r="BQ30" i="13"/>
  <c r="BM30" i="13"/>
  <c r="BI30" i="13"/>
  <c r="BD30" i="13"/>
  <c r="AZ30" i="13"/>
  <c r="AV30" i="13"/>
  <c r="AQ30" i="13"/>
  <c r="AM30" i="13"/>
  <c r="AI30" i="13"/>
  <c r="AD30" i="13"/>
  <c r="Z30" i="13"/>
  <c r="V30" i="13"/>
  <c r="Q30" i="13"/>
  <c r="M30" i="13"/>
  <c r="I30" i="13"/>
  <c r="BL30" i="13"/>
  <c r="BC30" i="13"/>
  <c r="AU30" i="13"/>
  <c r="AL30" i="13"/>
  <c r="AC30" i="13"/>
  <c r="U30" i="13"/>
  <c r="L30" i="13"/>
  <c r="BS30" i="13"/>
  <c r="BK30" i="13"/>
  <c r="BB30" i="13"/>
  <c r="AS30" i="13"/>
  <c r="AK30" i="13"/>
  <c r="AB30" i="13"/>
  <c r="S30" i="13"/>
  <c r="K30" i="13"/>
  <c r="BP30" i="13"/>
  <c r="BH30" i="13"/>
  <c r="AY30" i="13"/>
  <c r="AP30" i="13"/>
  <c r="AH30" i="13"/>
  <c r="Y30" i="13"/>
  <c r="P30" i="13"/>
  <c r="H30" i="13"/>
  <c r="BF30" i="13"/>
  <c r="X30" i="13"/>
  <c r="AX30" i="13"/>
  <c r="O30" i="13"/>
  <c r="AO30" i="13"/>
  <c r="BO30" i="13"/>
  <c r="AF30" i="13"/>
  <c r="BR27" i="13"/>
  <c r="BN27" i="13"/>
  <c r="BJ27" i="13"/>
  <c r="BE27" i="13"/>
  <c r="BA27" i="13"/>
  <c r="AW27" i="13"/>
  <c r="AR27" i="13"/>
  <c r="AN27" i="13"/>
  <c r="AJ27" i="13"/>
  <c r="AE27" i="13"/>
  <c r="AA27" i="13"/>
  <c r="W27" i="13"/>
  <c r="R27" i="13"/>
  <c r="N27" i="13"/>
  <c r="J27" i="13"/>
  <c r="BQ27" i="13"/>
  <c r="BL27" i="13"/>
  <c r="BF27" i="13"/>
  <c r="AZ27" i="13"/>
  <c r="AU27" i="13"/>
  <c r="AO27" i="13"/>
  <c r="AI27" i="13"/>
  <c r="AC27" i="13"/>
  <c r="X27" i="13"/>
  <c r="Q27" i="13"/>
  <c r="L27" i="13"/>
  <c r="BP27" i="13"/>
  <c r="BK27" i="13"/>
  <c r="BD27" i="13"/>
  <c r="AY27" i="13"/>
  <c r="AS27" i="13"/>
  <c r="AM27" i="13"/>
  <c r="AH27" i="13"/>
  <c r="AB27" i="13"/>
  <c r="V27" i="13"/>
  <c r="P27" i="13"/>
  <c r="K27" i="13"/>
  <c r="BO27" i="13"/>
  <c r="BI27" i="13"/>
  <c r="BC27" i="13"/>
  <c r="AX27" i="13"/>
  <c r="AQ27" i="13"/>
  <c r="AL27" i="13"/>
  <c r="AF27" i="13"/>
  <c r="Z27" i="13"/>
  <c r="U27" i="13"/>
  <c r="O27" i="13"/>
  <c r="I27" i="13"/>
  <c r="BS27" i="13"/>
  <c r="AV27" i="13"/>
  <c r="Y27" i="13"/>
  <c r="BM27" i="13"/>
  <c r="AP27" i="13"/>
  <c r="S27" i="13"/>
  <c r="BH27" i="13"/>
  <c r="AK27" i="13"/>
  <c r="M27" i="13"/>
  <c r="BB27" i="13"/>
  <c r="AD27" i="13"/>
  <c r="H27" i="13"/>
  <c r="AI23" i="13"/>
  <c r="Q23" i="13"/>
  <c r="BQ23" i="13"/>
  <c r="AZ23" i="13"/>
  <c r="BM19" i="13"/>
  <c r="AV19" i="13"/>
  <c r="AD19" i="13"/>
  <c r="M19" i="13"/>
  <c r="Q19" i="13"/>
  <c r="BQ19" i="13"/>
  <c r="AZ19" i="13"/>
  <c r="AI19" i="13"/>
  <c r="BM15" i="13"/>
  <c r="AV15" i="13"/>
  <c r="AD15" i="13"/>
  <c r="M15" i="13"/>
  <c r="BQ15" i="13"/>
  <c r="AZ15" i="13"/>
  <c r="AI15" i="13"/>
  <c r="Q15" i="13"/>
  <c r="BM11" i="13"/>
  <c r="AV11" i="13"/>
  <c r="AD11" i="13"/>
  <c r="M11" i="13"/>
  <c r="AZ11" i="13"/>
  <c r="AI11" i="13"/>
  <c r="Q11" i="13"/>
  <c r="BQ11" i="13"/>
  <c r="BS25" i="13"/>
  <c r="O25" i="13"/>
  <c r="AL25" i="13"/>
  <c r="BI25" i="13"/>
  <c r="V25" i="13"/>
  <c r="AS25" i="13"/>
  <c r="BP25" i="13"/>
  <c r="X25" i="13"/>
  <c r="AU25" i="13"/>
  <c r="BQ25" i="13"/>
  <c r="AA25" i="13"/>
  <c r="AR25" i="13"/>
  <c r="BJ25" i="13"/>
  <c r="AD23" i="13"/>
  <c r="AM21" i="13"/>
  <c r="R21" i="13"/>
  <c r="AJ21" i="13"/>
  <c r="BA21" i="13"/>
  <c r="BR21" i="13"/>
  <c r="X21" i="13"/>
  <c r="AO21" i="13"/>
  <c r="BF21" i="13"/>
  <c r="H21" i="13"/>
  <c r="Y21" i="13"/>
  <c r="AP21" i="13"/>
  <c r="BH21" i="13"/>
  <c r="BD17" i="13"/>
  <c r="N17" i="13"/>
  <c r="AE17" i="13"/>
  <c r="AW17" i="13"/>
  <c r="BN17" i="13"/>
  <c r="S17" i="13"/>
  <c r="AK17" i="13"/>
  <c r="BB17" i="13"/>
  <c r="BS17" i="13"/>
  <c r="U17" i="13"/>
  <c r="AL17" i="13"/>
  <c r="BC17" i="13"/>
  <c r="J13" i="13"/>
  <c r="AA13" i="13"/>
  <c r="AR13" i="13"/>
  <c r="BJ13" i="13"/>
  <c r="O13" i="13"/>
  <c r="AF13" i="13"/>
  <c r="AX13" i="13"/>
  <c r="BO13" i="13"/>
  <c r="P13" i="13"/>
  <c r="AH13" i="13"/>
  <c r="AY13" i="13"/>
  <c r="BP13" i="13"/>
  <c r="V9" i="13"/>
  <c r="W9" i="13"/>
  <c r="AN9" i="13"/>
  <c r="BE9" i="13"/>
  <c r="K9" i="13"/>
  <c r="AB9" i="13"/>
  <c r="AS9" i="13"/>
  <c r="BK9" i="13"/>
  <c r="L9" i="13"/>
  <c r="AC9" i="13"/>
  <c r="AU9" i="13"/>
  <c r="BL9" i="13"/>
  <c r="BT53" i="11"/>
  <c r="BT51" i="11"/>
  <c r="H59" i="11"/>
  <c r="S25" i="13"/>
  <c r="J24" i="13"/>
  <c r="AA24" i="13"/>
  <c r="AR24" i="13"/>
  <c r="BJ24" i="13"/>
  <c r="O24" i="13"/>
  <c r="AF24" i="13"/>
  <c r="AX24" i="13"/>
  <c r="BO24" i="13"/>
  <c r="P24" i="13"/>
  <c r="AH24" i="13"/>
  <c r="AY24" i="13"/>
  <c r="BP24" i="13"/>
  <c r="I23" i="13"/>
  <c r="J20" i="13"/>
  <c r="AA20" i="13"/>
  <c r="AR20" i="13"/>
  <c r="BJ20" i="13"/>
  <c r="O20" i="13"/>
  <c r="AF20" i="13"/>
  <c r="AX20" i="13"/>
  <c r="BO20" i="13"/>
  <c r="P20" i="13"/>
  <c r="AH20" i="13"/>
  <c r="AY20" i="13"/>
  <c r="BP20" i="13"/>
  <c r="I19" i="13"/>
  <c r="J16" i="13"/>
  <c r="AA16" i="13"/>
  <c r="AR16" i="13"/>
  <c r="BJ16" i="13"/>
  <c r="O16" i="13"/>
  <c r="AF16" i="13"/>
  <c r="AX16" i="13"/>
  <c r="BO16" i="13"/>
  <c r="P16" i="13"/>
  <c r="AH16" i="13"/>
  <c r="AY16" i="13"/>
  <c r="BP16" i="13"/>
  <c r="I15" i="13"/>
  <c r="J12" i="13"/>
  <c r="AA12" i="13"/>
  <c r="AR12" i="13"/>
  <c r="BJ12" i="13"/>
  <c r="O12" i="13"/>
  <c r="AF12" i="13"/>
  <c r="AX12" i="13"/>
  <c r="BO12" i="13"/>
  <c r="P12" i="13"/>
  <c r="AH12" i="13"/>
  <c r="AY12" i="13"/>
  <c r="BP12" i="13"/>
  <c r="I11" i="13"/>
  <c r="J8" i="13"/>
  <c r="AA8" i="13"/>
  <c r="AR8" i="13"/>
  <c r="BJ8" i="13"/>
  <c r="O8" i="13"/>
  <c r="AF8" i="13"/>
  <c r="AX8" i="13"/>
  <c r="BO8" i="13"/>
  <c r="P8" i="13"/>
  <c r="AH8" i="13"/>
  <c r="AY8" i="13"/>
  <c r="BP8" i="13"/>
  <c r="AG51" i="11"/>
  <c r="U59" i="11"/>
  <c r="AH59" i="11"/>
  <c r="W59" i="11"/>
  <c r="AK25" i="13"/>
  <c r="Q24" i="13"/>
  <c r="V23" i="13"/>
  <c r="W23" i="13"/>
  <c r="AN23" i="13"/>
  <c r="BE23" i="13"/>
  <c r="K23" i="13"/>
  <c r="AB23" i="13"/>
  <c r="AS23" i="13"/>
  <c r="BK23" i="13"/>
  <c r="L23" i="13"/>
  <c r="AC23" i="13"/>
  <c r="AU23" i="13"/>
  <c r="BL23" i="13"/>
  <c r="AD21" i="13"/>
  <c r="Q20" i="13"/>
  <c r="V19" i="13"/>
  <c r="W19" i="13"/>
  <c r="AN19" i="13"/>
  <c r="BE19" i="13"/>
  <c r="K19" i="13"/>
  <c r="AB19" i="13"/>
  <c r="AS19" i="13"/>
  <c r="BK19" i="13"/>
  <c r="L19" i="13"/>
  <c r="AC19" i="13"/>
  <c r="AU19" i="13"/>
  <c r="BL19" i="13"/>
  <c r="AD17" i="13"/>
  <c r="Q16" i="13"/>
  <c r="V15" i="13"/>
  <c r="W15" i="13"/>
  <c r="AN15" i="13"/>
  <c r="BE15" i="13"/>
  <c r="K15" i="13"/>
  <c r="AB15" i="13"/>
  <c r="AS15" i="13"/>
  <c r="BK15" i="13"/>
  <c r="L15" i="13"/>
  <c r="AC15" i="13"/>
  <c r="AU15" i="13"/>
  <c r="BL15" i="13"/>
  <c r="AD13" i="13"/>
  <c r="Q12" i="13"/>
  <c r="V11" i="13"/>
  <c r="W11" i="13"/>
  <c r="AN11" i="13"/>
  <c r="BE11" i="13"/>
  <c r="K11" i="13"/>
  <c r="AB11" i="13"/>
  <c r="AS11" i="13"/>
  <c r="BK11" i="13"/>
  <c r="L11" i="13"/>
  <c r="AC11" i="13"/>
  <c r="AU11" i="13"/>
  <c r="BL11" i="13"/>
  <c r="AD9" i="13"/>
  <c r="Q8" i="13"/>
  <c r="AT51" i="11"/>
  <c r="BH59" i="11"/>
  <c r="V14" i="13"/>
  <c r="AQ10" i="13"/>
  <c r="AV10" i="13"/>
  <c r="AZ10" i="13"/>
  <c r="R10" i="13"/>
  <c r="AJ10" i="13"/>
  <c r="BA10" i="13"/>
  <c r="BR10" i="13"/>
  <c r="X10" i="13"/>
  <c r="AO10" i="13"/>
  <c r="BF10" i="13"/>
  <c r="H10" i="13"/>
  <c r="Y10" i="13"/>
  <c r="AP10" i="13"/>
  <c r="BH10" i="13"/>
  <c r="I14" i="13"/>
  <c r="M14" i="13"/>
  <c r="Q14" i="13"/>
  <c r="J14" i="13"/>
  <c r="AA14" i="13"/>
  <c r="AR14" i="13"/>
  <c r="BJ14" i="13"/>
  <c r="O14" i="13"/>
  <c r="AF14" i="13"/>
  <c r="AX14" i="13"/>
  <c r="BO14" i="13"/>
  <c r="P14" i="13"/>
  <c r="AH14" i="13"/>
  <c r="AY14" i="13"/>
  <c r="BP14" i="13"/>
  <c r="BT57" i="11"/>
  <c r="AT57" i="11"/>
  <c r="Z18" i="13"/>
  <c r="AD18" i="13"/>
  <c r="AI18" i="13"/>
  <c r="N18" i="13"/>
  <c r="AE18" i="13"/>
  <c r="AW18" i="13"/>
  <c r="BN18" i="13"/>
  <c r="S18" i="13"/>
  <c r="AK18" i="13"/>
  <c r="BB18" i="13"/>
  <c r="BS18" i="13"/>
  <c r="U18" i="13"/>
  <c r="AL18" i="13"/>
  <c r="BC18" i="13"/>
  <c r="BQ16" i="13"/>
  <c r="AI45" i="11"/>
  <c r="BD22" i="13"/>
  <c r="BI22" i="13"/>
  <c r="BM22" i="13"/>
  <c r="BQ22" i="13"/>
  <c r="W22" i="13"/>
  <c r="AN22" i="13"/>
  <c r="BE22" i="13"/>
  <c r="K22" i="13"/>
  <c r="AB22" i="13"/>
  <c r="AS22" i="13"/>
  <c r="BK22" i="13"/>
  <c r="L22" i="13"/>
  <c r="AC22" i="13"/>
  <c r="AU22" i="13"/>
  <c r="X31" i="11"/>
  <c r="V25" i="3" s="1"/>
  <c r="AN31" i="11"/>
  <c r="AL25" i="3" s="1"/>
  <c r="I31" i="11"/>
  <c r="G25" i="3" s="1"/>
  <c r="BI31" i="11"/>
  <c r="BG25" i="3" s="1"/>
  <c r="Q15" i="11"/>
  <c r="I31" i="4"/>
  <c r="G60" i="3"/>
  <c r="H9" i="2"/>
  <c r="X37" i="7"/>
  <c r="L74" i="7"/>
  <c r="X74" i="7" s="1"/>
  <c r="BJ97" i="6"/>
  <c r="AO42" i="11"/>
  <c r="AN41" i="11"/>
  <c r="AZ24" i="11"/>
  <c r="AY23" i="11"/>
  <c r="AY31" i="11" s="1"/>
  <c r="AW25" i="3" s="1"/>
  <c r="AW66" i="11"/>
  <c r="BN97" i="6"/>
  <c r="AT43" i="11"/>
  <c r="AQ23" i="11"/>
  <c r="AQ31" i="11" s="1"/>
  <c r="AO25" i="3" s="1"/>
  <c r="AR24" i="11"/>
  <c r="V31" i="11"/>
  <c r="T25" i="3" s="1"/>
  <c r="AV17" i="11"/>
  <c r="AT40" i="3" s="1"/>
  <c r="AK7" i="11"/>
  <c r="V17" i="11"/>
  <c r="T40" i="3" s="1"/>
  <c r="BM97" i="6"/>
  <c r="AS95" i="6"/>
  <c r="AS97" i="6" s="1"/>
  <c r="AG97" i="6"/>
  <c r="BH97" i="6"/>
  <c r="AR97" i="6"/>
  <c r="AB97" i="6"/>
  <c r="G55" i="6"/>
  <c r="S53" i="6"/>
  <c r="AA97" i="6"/>
  <c r="BT79" i="6"/>
  <c r="BT82" i="6" s="1"/>
  <c r="S82" i="6"/>
  <c r="AM97" i="6"/>
  <c r="F74" i="1"/>
  <c r="BS50" i="3"/>
  <c r="X52" i="7"/>
  <c r="BQ97" i="6"/>
  <c r="AY97" i="6"/>
  <c r="BS95" i="6"/>
  <c r="BS97" i="6" s="1"/>
  <c r="BG97" i="6"/>
  <c r="R63" i="3"/>
  <c r="BS58" i="3"/>
  <c r="BS57" i="3"/>
  <c r="I39" i="1"/>
  <c r="AF40" i="2"/>
  <c r="AG40" i="2" s="1"/>
  <c r="AH40" i="2" s="1"/>
  <c r="AI40" i="2" s="1"/>
  <c r="AJ40" i="2" s="1"/>
  <c r="AK40" i="2" s="1"/>
  <c r="AL40" i="2" s="1"/>
  <c r="AM40" i="2" s="1"/>
  <c r="AN40" i="2" s="1"/>
  <c r="AO40" i="2" s="1"/>
  <c r="AP40" i="2" s="1"/>
  <c r="AQ40" i="2" s="1"/>
  <c r="AK66" i="11" l="1"/>
  <c r="AY12" i="11"/>
  <c r="AX19" i="11"/>
  <c r="AX11" i="11"/>
  <c r="AL12" i="11"/>
  <c r="AK19" i="11"/>
  <c r="AK11" i="11"/>
  <c r="Y12" i="11"/>
  <c r="X19" i="11"/>
  <c r="X11" i="11"/>
  <c r="BL10" i="11"/>
  <c r="BK19" i="11"/>
  <c r="BK9" i="11"/>
  <c r="BL24" i="11"/>
  <c r="BK33" i="11"/>
  <c r="BK23" i="11"/>
  <c r="BK31" i="11" s="1"/>
  <c r="BI25" i="3" s="1"/>
  <c r="H26" i="3"/>
  <c r="BT39" i="11"/>
  <c r="M24" i="11"/>
  <c r="BG25" i="11"/>
  <c r="T21" i="11"/>
  <c r="BT41" i="11"/>
  <c r="BG39" i="11"/>
  <c r="X61" i="11"/>
  <c r="X49" i="11"/>
  <c r="X59" i="11" s="1"/>
  <c r="Y50" i="11"/>
  <c r="BL50" i="11"/>
  <c r="BK61" i="11"/>
  <c r="BK49" i="11"/>
  <c r="BK59" i="11" s="1"/>
  <c r="AL50" i="11"/>
  <c r="AK61" i="11"/>
  <c r="AK49" i="11"/>
  <c r="AT37" i="11"/>
  <c r="AY50" i="11"/>
  <c r="AX61" i="11"/>
  <c r="AX49" i="11"/>
  <c r="AX59" i="11" s="1"/>
  <c r="L50" i="11"/>
  <c r="K61" i="11"/>
  <c r="K49" i="11"/>
  <c r="K59" i="11" s="1"/>
  <c r="AC54" i="11"/>
  <c r="AB53" i="11"/>
  <c r="AS26" i="3"/>
  <c r="AY36" i="11"/>
  <c r="AX47" i="11"/>
  <c r="AX35" i="11"/>
  <c r="BL36" i="11"/>
  <c r="BK47" i="11"/>
  <c r="BK35" i="11"/>
  <c r="BK66" i="11"/>
  <c r="L40" i="11"/>
  <c r="K47" i="11"/>
  <c r="K39" i="11"/>
  <c r="R36" i="11"/>
  <c r="R35" i="11" s="1"/>
  <c r="AL36" i="11"/>
  <c r="AL66" i="11" s="1"/>
  <c r="AK47" i="11"/>
  <c r="AK35" i="11"/>
  <c r="T26" i="3"/>
  <c r="Y36" i="11"/>
  <c r="X47" i="11"/>
  <c r="X35" i="11"/>
  <c r="X45" i="11" s="1"/>
  <c r="V26" i="3" s="1"/>
  <c r="M54" i="11"/>
  <c r="L53" i="11"/>
  <c r="AG48" i="8"/>
  <c r="AB19" i="3" s="1"/>
  <c r="AF48" i="8"/>
  <c r="AA19" i="3" s="1"/>
  <c r="AH48" i="8"/>
  <c r="AC19" i="3" s="1"/>
  <c r="AW13" i="3"/>
  <c r="BL112" i="7"/>
  <c r="BK35" i="8" s="1"/>
  <c r="BW109" i="7"/>
  <c r="BC121" i="7"/>
  <c r="BC128" i="7" s="1"/>
  <c r="AO44" i="8"/>
  <c r="P13" i="4"/>
  <c r="BR109" i="7"/>
  <c r="W48" i="8"/>
  <c r="O13" i="4"/>
  <c r="Y9" i="2"/>
  <c r="BU107" i="7"/>
  <c r="BT30" i="8" s="1"/>
  <c r="BP111" i="7"/>
  <c r="BO34" i="8" s="1"/>
  <c r="BN112" i="7"/>
  <c r="BM35" i="8" s="1"/>
  <c r="BV112" i="7"/>
  <c r="BU35" i="8" s="1"/>
  <c r="BN103" i="7"/>
  <c r="BM26" i="8" s="1"/>
  <c r="BC117" i="7"/>
  <c r="AW15" i="3" s="1"/>
  <c r="BT95" i="7"/>
  <c r="BS18" i="8" s="1"/>
  <c r="X9" i="2"/>
  <c r="Y13" i="4" s="1"/>
  <c r="AE48" i="8"/>
  <c r="Z19" i="3" s="1"/>
  <c r="BW94" i="7"/>
  <c r="BV17" i="8" s="1"/>
  <c r="BW112" i="7"/>
  <c r="BV35" i="8" s="1"/>
  <c r="M60" i="3"/>
  <c r="AS44" i="8"/>
  <c r="BK90" i="6"/>
  <c r="BP87" i="7"/>
  <c r="BO10" i="8" s="1"/>
  <c r="T9" i="2"/>
  <c r="V13" i="4" s="1"/>
  <c r="AJ46" i="8"/>
  <c r="AK131" i="7"/>
  <c r="AK132" i="7" s="1"/>
  <c r="BT88" i="7"/>
  <c r="BS11" i="8" s="1"/>
  <c r="L13" i="4"/>
  <c r="AJ44" i="8"/>
  <c r="K13" i="4"/>
  <c r="BM121" i="7"/>
  <c r="BM128" i="7" s="1"/>
  <c r="I60" i="3"/>
  <c r="BV88" i="7"/>
  <c r="BU11" i="8" s="1"/>
  <c r="BX115" i="7"/>
  <c r="BR107" i="7"/>
  <c r="BQ30" i="8" s="1"/>
  <c r="BI122" i="7"/>
  <c r="BI129" i="7" s="1"/>
  <c r="AJ45" i="8"/>
  <c r="BW91" i="7"/>
  <c r="BV14" i="8" s="1"/>
  <c r="Q9" i="2"/>
  <c r="F8" i="1" s="1"/>
  <c r="Y132" i="7"/>
  <c r="S8" i="3" s="1"/>
  <c r="S60" i="3" s="1"/>
  <c r="AE60" i="3" s="1"/>
  <c r="I84" i="1" s="1"/>
  <c r="K60" i="3"/>
  <c r="BR111" i="7"/>
  <c r="BQ34" i="8" s="1"/>
  <c r="BJ123" i="7"/>
  <c r="BJ130" i="7" s="1"/>
  <c r="Z9" i="2"/>
  <c r="AA13" i="4" s="1"/>
  <c r="BO90" i="6"/>
  <c r="BW106" i="7"/>
  <c r="BV29" i="8" s="1"/>
  <c r="BT96" i="7"/>
  <c r="BS19" i="8" s="1"/>
  <c r="BW89" i="7"/>
  <c r="BV12" i="8" s="1"/>
  <c r="R8" i="3"/>
  <c r="F50" i="1" s="1"/>
  <c r="X132" i="7"/>
  <c r="BP92" i="7"/>
  <c r="BO15" i="8" s="1"/>
  <c r="BG122" i="7"/>
  <c r="BG129" i="7" s="1"/>
  <c r="BA117" i="7"/>
  <c r="AU15" i="3" s="1"/>
  <c r="AA24" i="3"/>
  <c r="AA9" i="2"/>
  <c r="AC13" i="4" s="1"/>
  <c r="AL46" i="8"/>
  <c r="AQ46" i="8"/>
  <c r="AQ48" i="8" s="1"/>
  <c r="AL19" i="3" s="1"/>
  <c r="BN111" i="7"/>
  <c r="BM34" i="8" s="1"/>
  <c r="BT94" i="7"/>
  <c r="BS17" i="8" s="1"/>
  <c r="BT87" i="7"/>
  <c r="BS10" i="8" s="1"/>
  <c r="BE117" i="7"/>
  <c r="AY15" i="3" s="1"/>
  <c r="BP90" i="6"/>
  <c r="BU77" i="7"/>
  <c r="BX77" i="7" s="1"/>
  <c r="AK44" i="8"/>
  <c r="AL128" i="7"/>
  <c r="X48" i="8"/>
  <c r="S19" i="3" s="1"/>
  <c r="AJ47" i="8"/>
  <c r="BX37" i="7"/>
  <c r="BY37" i="7" s="1"/>
  <c r="BQ74" i="7"/>
  <c r="BX35" i="7"/>
  <c r="BQ72" i="7"/>
  <c r="BX38" i="7"/>
  <c r="BU75" i="7"/>
  <c r="AL47" i="8"/>
  <c r="AM131" i="7"/>
  <c r="AK46" i="8"/>
  <c r="AL130" i="7"/>
  <c r="AX130" i="7" s="1"/>
  <c r="BW96" i="7"/>
  <c r="BV19" i="8" s="1"/>
  <c r="BW61" i="7"/>
  <c r="BW65" i="7" s="1"/>
  <c r="BQ9" i="3" s="1"/>
  <c r="AK45" i="8"/>
  <c r="AL129" i="7"/>
  <c r="AX47" i="8"/>
  <c r="AY131" i="7"/>
  <c r="X13" i="4"/>
  <c r="AC9" i="2"/>
  <c r="AE13" i="4" s="1"/>
  <c r="AK13" i="3"/>
  <c r="AK14" i="3" s="1"/>
  <c r="AM48" i="8"/>
  <c r="AH19" i="3" s="1"/>
  <c r="AN47" i="8"/>
  <c r="BB46" i="8"/>
  <c r="BE47" i="8"/>
  <c r="AO48" i="8"/>
  <c r="AJ19" i="3" s="1"/>
  <c r="AY122" i="7"/>
  <c r="AX11" i="8"/>
  <c r="AY123" i="7"/>
  <c r="AX12" i="8"/>
  <c r="AF13" i="3"/>
  <c r="AF14" i="3" s="1"/>
  <c r="BC47" i="8"/>
  <c r="BF47" i="8"/>
  <c r="AZ44" i="8"/>
  <c r="AZ45" i="8"/>
  <c r="AW132" i="7"/>
  <c r="AQ8" i="3" s="1"/>
  <c r="AQ16" i="3" s="1"/>
  <c r="AQ44" i="3" s="1"/>
  <c r="AV46" i="8"/>
  <c r="BG45" i="8"/>
  <c r="BD47" i="8"/>
  <c r="BD46" i="8"/>
  <c r="BI47" i="8"/>
  <c r="AN46" i="8"/>
  <c r="AS47" i="8"/>
  <c r="AU44" i="8"/>
  <c r="AP44" i="8"/>
  <c r="AY44" i="8"/>
  <c r="AN44" i="8"/>
  <c r="AP46" i="8"/>
  <c r="AP45" i="8"/>
  <c r="AY121" i="7"/>
  <c r="AX10" i="8"/>
  <c r="BF46" i="8"/>
  <c r="AY46" i="8"/>
  <c r="BB47" i="8"/>
  <c r="BE132" i="7"/>
  <c r="AY8" i="3" s="1"/>
  <c r="BD45" i="8"/>
  <c r="BH47" i="8"/>
  <c r="AR45" i="8"/>
  <c r="BI45" i="8"/>
  <c r="BL44" i="8"/>
  <c r="AR44" i="8"/>
  <c r="BE46" i="8"/>
  <c r="BG47" i="8"/>
  <c r="AT132" i="7"/>
  <c r="AN8" i="3" s="1"/>
  <c r="AS45" i="8"/>
  <c r="AT48" i="8"/>
  <c r="AO19" i="3" s="1"/>
  <c r="BL124" i="7"/>
  <c r="BK13" i="8"/>
  <c r="AU45" i="8"/>
  <c r="AZ46" i="8"/>
  <c r="AY45" i="8"/>
  <c r="BG46" i="8"/>
  <c r="BB44" i="8"/>
  <c r="BG44" i="8"/>
  <c r="BI44" i="8"/>
  <c r="AN45" i="8"/>
  <c r="BB45" i="8"/>
  <c r="AZ47" i="8"/>
  <c r="AU46" i="8"/>
  <c r="BD44" i="8"/>
  <c r="BG121" i="7"/>
  <c r="BG128" i="7" s="1"/>
  <c r="BF10" i="8"/>
  <c r="AW16" i="8"/>
  <c r="AP53" i="3"/>
  <c r="AU13" i="3"/>
  <c r="AU24" i="3" s="1"/>
  <c r="W16" i="3"/>
  <c r="W44" i="3" s="1"/>
  <c r="W14" i="3"/>
  <c r="AG13" i="3"/>
  <c r="AG14" i="3" s="1"/>
  <c r="AM49" i="3"/>
  <c r="AP54" i="3"/>
  <c r="AI13" i="3"/>
  <c r="AI14" i="3" s="1"/>
  <c r="E16" i="8"/>
  <c r="BH16" i="8"/>
  <c r="BD16" i="8"/>
  <c r="BD23" i="8" s="1"/>
  <c r="AY20" i="3" s="1"/>
  <c r="AZ16" i="8"/>
  <c r="BE16" i="8"/>
  <c r="AY16" i="8"/>
  <c r="AY23" i="8" s="1"/>
  <c r="AT20" i="3" s="1"/>
  <c r="BG16" i="8"/>
  <c r="BG23" i="8" s="1"/>
  <c r="BB20" i="3" s="1"/>
  <c r="BA16" i="8"/>
  <c r="BF16" i="8"/>
  <c r="BC16" i="8"/>
  <c r="AX16" i="8"/>
  <c r="BI16" i="8"/>
  <c r="BI23" i="8" s="1"/>
  <c r="BD20" i="3" s="1"/>
  <c r="BB16" i="8"/>
  <c r="D32" i="8"/>
  <c r="AN32" i="8"/>
  <c r="AN39" i="8" s="1"/>
  <c r="AI21" i="3" s="1"/>
  <c r="AR32" i="8"/>
  <c r="AR39" i="8" s="1"/>
  <c r="AM21" i="3" s="1"/>
  <c r="AV32" i="8"/>
  <c r="AV39" i="8" s="1"/>
  <c r="AQ21" i="3" s="1"/>
  <c r="AO11" i="2" s="1"/>
  <c r="AL32" i="8"/>
  <c r="AL39" i="8" s="1"/>
  <c r="AG21" i="3" s="1"/>
  <c r="AD11" i="2" s="1"/>
  <c r="AQ32" i="8"/>
  <c r="AQ39" i="8" s="1"/>
  <c r="AL21" i="3" s="1"/>
  <c r="AJ11" i="2" s="1"/>
  <c r="AM32" i="8"/>
  <c r="AM39" i="8" s="1"/>
  <c r="AH21" i="3" s="1"/>
  <c r="AF11" i="2" s="1"/>
  <c r="AS32" i="8"/>
  <c r="AS39" i="8" s="1"/>
  <c r="AN21" i="3" s="1"/>
  <c r="AL11" i="2" s="1"/>
  <c r="AO32" i="8"/>
  <c r="AO39" i="8" s="1"/>
  <c r="AJ21" i="3" s="1"/>
  <c r="AH11" i="2" s="1"/>
  <c r="AT32" i="8"/>
  <c r="AT39" i="8" s="1"/>
  <c r="AO21" i="3" s="1"/>
  <c r="AM11" i="2" s="1"/>
  <c r="AK32" i="8"/>
  <c r="AK39" i="8" s="1"/>
  <c r="AF21" i="3" s="1"/>
  <c r="AP32" i="8"/>
  <c r="AP39" i="8" s="1"/>
  <c r="AK21" i="3" s="1"/>
  <c r="AU32" i="8"/>
  <c r="AU39" i="8" s="1"/>
  <c r="AP21" i="3" s="1"/>
  <c r="AW13" i="8"/>
  <c r="AZ23" i="8"/>
  <c r="AU20" i="3" s="1"/>
  <c r="BB23" i="8"/>
  <c r="AW20" i="3" s="1"/>
  <c r="AN23" i="8"/>
  <c r="AI20" i="3" s="1"/>
  <c r="AP23" i="8"/>
  <c r="AK20" i="3" s="1"/>
  <c r="AR23" i="8"/>
  <c r="AM20" i="3" s="1"/>
  <c r="AK11" i="2" s="1"/>
  <c r="AU23" i="8"/>
  <c r="AP20" i="3" s="1"/>
  <c r="AB24" i="3"/>
  <c r="AB16" i="3"/>
  <c r="AB28" i="2" s="1"/>
  <c r="AL14" i="3"/>
  <c r="BR12" i="3"/>
  <c r="AR10" i="3"/>
  <c r="AO13" i="3"/>
  <c r="AO14" i="3" s="1"/>
  <c r="BD13" i="3"/>
  <c r="BD24" i="3" s="1"/>
  <c r="AQ14" i="3"/>
  <c r="AP49" i="3"/>
  <c r="BJ117" i="7"/>
  <c r="BD15" i="3" s="1"/>
  <c r="BG65" i="7"/>
  <c r="BA9" i="3" s="1"/>
  <c r="BA13" i="3" s="1"/>
  <c r="AW11" i="8"/>
  <c r="AM53" i="3"/>
  <c r="AY13" i="3"/>
  <c r="AY14" i="3" s="1"/>
  <c r="AN14" i="3"/>
  <c r="AN24" i="3"/>
  <c r="AW12" i="8"/>
  <c r="W13" i="4"/>
  <c r="AO9" i="2"/>
  <c r="F60" i="3"/>
  <c r="G9" i="2"/>
  <c r="H13" i="4" s="1"/>
  <c r="AJ24" i="3"/>
  <c r="AQ24" i="3"/>
  <c r="X14" i="3"/>
  <c r="BD122" i="7"/>
  <c r="BD129" i="7" s="1"/>
  <c r="BN122" i="7"/>
  <c r="BN129" i="7" s="1"/>
  <c r="BF121" i="7"/>
  <c r="BF128" i="7" s="1"/>
  <c r="BW124" i="7"/>
  <c r="BW131" i="7" s="1"/>
  <c r="BB124" i="7"/>
  <c r="BB131" i="7" s="1"/>
  <c r="BV124" i="7"/>
  <c r="BV131" i="7" s="1"/>
  <c r="BW122" i="7"/>
  <c r="BW129" i="7" s="1"/>
  <c r="BU121" i="7"/>
  <c r="BU128" i="7" s="1"/>
  <c r="BR121" i="7"/>
  <c r="BR128" i="7" s="1"/>
  <c r="AM14" i="3"/>
  <c r="BR122" i="7"/>
  <c r="BR129" i="7" s="1"/>
  <c r="BN123" i="7"/>
  <c r="BN130" i="7" s="1"/>
  <c r="AZ124" i="7"/>
  <c r="BT124" i="7"/>
  <c r="BT131" i="7" s="1"/>
  <c r="AJ60" i="3"/>
  <c r="AJ9" i="2"/>
  <c r="AH60" i="3"/>
  <c r="AH9" i="2"/>
  <c r="AX124" i="7"/>
  <c r="AL60" i="3"/>
  <c r="AL9" i="2"/>
  <c r="BS124" i="7"/>
  <c r="BS131" i="7" s="1"/>
  <c r="BI123" i="7"/>
  <c r="BI130" i="7" s="1"/>
  <c r="BB123" i="7"/>
  <c r="BB130" i="7" s="1"/>
  <c r="BM123" i="7"/>
  <c r="BM130" i="7" s="1"/>
  <c r="BI121" i="7"/>
  <c r="BI128" i="7" s="1"/>
  <c r="BN121" i="7"/>
  <c r="BN128" i="7" s="1"/>
  <c r="BT122" i="7"/>
  <c r="BT129" i="7" s="1"/>
  <c r="BR123" i="7"/>
  <c r="BR130" i="7" s="1"/>
  <c r="BQ124" i="7"/>
  <c r="BQ131" i="7" s="1"/>
  <c r="BB122" i="7"/>
  <c r="BB129" i="7" s="1"/>
  <c r="BA132" i="7"/>
  <c r="AU8" i="3" s="1"/>
  <c r="AX122" i="7"/>
  <c r="AE13" i="3"/>
  <c r="AW14" i="3"/>
  <c r="BN124" i="7"/>
  <c r="BN131" i="7" s="1"/>
  <c r="BP122" i="7"/>
  <c r="BP129" i="7" s="1"/>
  <c r="BU124" i="7"/>
  <c r="BU131" i="7" s="1"/>
  <c r="BF122" i="7"/>
  <c r="BF129" i="7" s="1"/>
  <c r="BT123" i="7"/>
  <c r="BT130" i="7" s="1"/>
  <c r="BR124" i="7"/>
  <c r="BR131" i="7" s="1"/>
  <c r="BD121" i="7"/>
  <c r="BD128" i="7" s="1"/>
  <c r="BS123" i="7"/>
  <c r="BS130" i="7" s="1"/>
  <c r="BP121" i="7"/>
  <c r="BP128" i="7" s="1"/>
  <c r="AR9" i="3"/>
  <c r="AX121" i="7"/>
  <c r="AP14" i="3"/>
  <c r="BU122" i="7"/>
  <c r="BU129" i="7" s="1"/>
  <c r="BP124" i="7"/>
  <c r="BP131" i="7" s="1"/>
  <c r="BU123" i="7"/>
  <c r="BU130" i="7" s="1"/>
  <c r="BW121" i="7"/>
  <c r="BW128" i="7" s="1"/>
  <c r="BM122" i="7"/>
  <c r="BM129" i="7" s="1"/>
  <c r="BP123" i="7"/>
  <c r="BP130" i="7" s="1"/>
  <c r="BD123" i="7"/>
  <c r="BD130" i="7" s="1"/>
  <c r="BB121" i="7"/>
  <c r="BB128" i="7" s="1"/>
  <c r="AR15" i="3"/>
  <c r="AX123" i="7"/>
  <c r="Y24" i="3"/>
  <c r="Y16" i="3"/>
  <c r="AC24" i="3"/>
  <c r="AH24" i="3"/>
  <c r="AD24" i="3"/>
  <c r="AD16" i="3"/>
  <c r="AD44" i="3" s="1"/>
  <c r="AL16" i="3"/>
  <c r="AL44" i="3" s="1"/>
  <c r="AJ16" i="3"/>
  <c r="AJ44" i="3" s="1"/>
  <c r="X16" i="3"/>
  <c r="X44" i="3" s="1"/>
  <c r="BR90" i="6"/>
  <c r="BN90" i="6"/>
  <c r="BG117" i="7"/>
  <c r="BA15" i="3" s="1"/>
  <c r="S24" i="3"/>
  <c r="AJ53" i="3"/>
  <c r="AN49" i="3"/>
  <c r="AA16" i="3"/>
  <c r="AA44" i="3" s="1"/>
  <c r="AF54" i="3"/>
  <c r="Z24" i="3"/>
  <c r="V24" i="3"/>
  <c r="AL53" i="3"/>
  <c r="AM24" i="3"/>
  <c r="AV49" i="3"/>
  <c r="T24" i="3"/>
  <c r="T27" i="3" s="1"/>
  <c r="AH26" i="3"/>
  <c r="M52" i="11"/>
  <c r="L51" i="11"/>
  <c r="M58" i="11"/>
  <c r="L57" i="11"/>
  <c r="F26" i="3"/>
  <c r="S26" i="3"/>
  <c r="AU26" i="3"/>
  <c r="AG26" i="3"/>
  <c r="AT26" i="3"/>
  <c r="BF26" i="3"/>
  <c r="U26" i="3"/>
  <c r="U27" i="3" s="1"/>
  <c r="AF26" i="3"/>
  <c r="BG26" i="3"/>
  <c r="G26" i="3"/>
  <c r="AT15" i="11"/>
  <c r="AL54" i="3"/>
  <c r="AJ54" i="3"/>
  <c r="BQ90" i="6"/>
  <c r="AZ117" i="7"/>
  <c r="AT15" i="3" s="1"/>
  <c r="BJ90" i="6"/>
  <c r="BK58" i="7"/>
  <c r="AN53" i="3"/>
  <c r="BJ30" i="8"/>
  <c r="Z11" i="2"/>
  <c r="BK90" i="7"/>
  <c r="BK110" i="7"/>
  <c r="AA11" i="2"/>
  <c r="AF53" i="3"/>
  <c r="BD81" i="7"/>
  <c r="AX10" i="3" s="1"/>
  <c r="Y11" i="2"/>
  <c r="BK61" i="7"/>
  <c r="T11" i="2"/>
  <c r="BK107" i="7"/>
  <c r="P11" i="2"/>
  <c r="S11" i="2"/>
  <c r="U11" i="2"/>
  <c r="BR23" i="3"/>
  <c r="BD13" i="2"/>
  <c r="O12" i="1" s="1"/>
  <c r="AL49" i="3"/>
  <c r="BJ19" i="8"/>
  <c r="BJ33" i="8"/>
  <c r="Q11" i="2"/>
  <c r="W11" i="2"/>
  <c r="V11" i="2"/>
  <c r="X11" i="2"/>
  <c r="AB11" i="2"/>
  <c r="BW81" i="7"/>
  <c r="BQ10" i="3" s="1"/>
  <c r="AF49" i="3"/>
  <c r="BK57" i="7"/>
  <c r="BX18" i="7"/>
  <c r="BY18" i="7" s="1"/>
  <c r="BT81" i="7"/>
  <c r="BN10" i="3" s="1"/>
  <c r="AK53" i="3"/>
  <c r="BK53" i="7"/>
  <c r="BK76" i="7"/>
  <c r="BK54" i="7"/>
  <c r="BK112" i="7"/>
  <c r="BH81" i="7"/>
  <c r="BB10" i="3" s="1"/>
  <c r="BB13" i="3" s="1"/>
  <c r="AE21" i="3"/>
  <c r="AE31" i="3" s="1"/>
  <c r="BX20" i="7"/>
  <c r="BY20" i="7" s="1"/>
  <c r="BL92" i="7"/>
  <c r="BK15" i="8" s="1"/>
  <c r="AM54" i="3"/>
  <c r="BQ105" i="7"/>
  <c r="BP28" i="8" s="1"/>
  <c r="AX49" i="3"/>
  <c r="AX54" i="3"/>
  <c r="AX53" i="3"/>
  <c r="AC16" i="3"/>
  <c r="BN117" i="7"/>
  <c r="BH15" i="3" s="1"/>
  <c r="BK105" i="7"/>
  <c r="BM96" i="7"/>
  <c r="BL19" i="8" s="1"/>
  <c r="BU104" i="7"/>
  <c r="BX69" i="7"/>
  <c r="AY117" i="7"/>
  <c r="AS15" i="3" s="1"/>
  <c r="BK103" i="7"/>
  <c r="AY65" i="7"/>
  <c r="AS9" i="3" s="1"/>
  <c r="BX24" i="7"/>
  <c r="BX63" i="7"/>
  <c r="BS92" i="7"/>
  <c r="BR15" i="8" s="1"/>
  <c r="BS94" i="7"/>
  <c r="BR17" i="8" s="1"/>
  <c r="BQ96" i="7"/>
  <c r="BP19" i="8" s="1"/>
  <c r="BD65" i="7"/>
  <c r="AX9" i="3" s="1"/>
  <c r="AX117" i="7"/>
  <c r="BM94" i="7"/>
  <c r="BL17" i="8" s="1"/>
  <c r="BK56" i="7"/>
  <c r="AB53" i="3"/>
  <c r="AJ49" i="3"/>
  <c r="BX23" i="7"/>
  <c r="BL95" i="7"/>
  <c r="BK18" i="8" s="1"/>
  <c r="BX22" i="7"/>
  <c r="BL94" i="7"/>
  <c r="BK17" i="8" s="1"/>
  <c r="BX31" i="7"/>
  <c r="BL103" i="7"/>
  <c r="BK26" i="8" s="1"/>
  <c r="BX36" i="7"/>
  <c r="BY36" i="7" s="1"/>
  <c r="BL108" i="7"/>
  <c r="BK31" i="8" s="1"/>
  <c r="BX73" i="7"/>
  <c r="BV95" i="7"/>
  <c r="BU18" i="8" s="1"/>
  <c r="AH53" i="3"/>
  <c r="AH49" i="3"/>
  <c r="AZ65" i="7"/>
  <c r="AT9" i="3" s="1"/>
  <c r="AT13" i="3" s="1"/>
  <c r="BV89" i="7"/>
  <c r="BU12" i="8" s="1"/>
  <c r="BO89" i="7"/>
  <c r="BN12" i="8" s="1"/>
  <c r="BU105" i="7"/>
  <c r="BT28" i="8" s="1"/>
  <c r="BK106" i="7"/>
  <c r="BJ29" i="8"/>
  <c r="BK88" i="7"/>
  <c r="BK96" i="7"/>
  <c r="BP81" i="7"/>
  <c r="BJ10" i="3" s="1"/>
  <c r="BF117" i="7"/>
  <c r="AZ15" i="3" s="1"/>
  <c r="AG49" i="3"/>
  <c r="AG53" i="3"/>
  <c r="AH16" i="3"/>
  <c r="AH44" i="3" s="1"/>
  <c r="AG54" i="3"/>
  <c r="BK68" i="7"/>
  <c r="AY81" i="7"/>
  <c r="AS10" i="3" s="1"/>
  <c r="BK87" i="7"/>
  <c r="BX64" i="7"/>
  <c r="BV87" i="7"/>
  <c r="BU10" i="8" s="1"/>
  <c r="BN65" i="7"/>
  <c r="BH9" i="3" s="1"/>
  <c r="BO94" i="7"/>
  <c r="BN17" i="8" s="1"/>
  <c r="AK23" i="8"/>
  <c r="AF20" i="3" s="1"/>
  <c r="AW10" i="8"/>
  <c r="BS95" i="7"/>
  <c r="BR18" i="8" s="1"/>
  <c r="BU65" i="7"/>
  <c r="BO9" i="3" s="1"/>
  <c r="BQ89" i="7"/>
  <c r="BP12" i="8" s="1"/>
  <c r="BQ95" i="7"/>
  <c r="BP18" i="8" s="1"/>
  <c r="BV81" i="7"/>
  <c r="BP10" i="3" s="1"/>
  <c r="BK111" i="7"/>
  <c r="BJ34" i="8"/>
  <c r="BK93" i="7"/>
  <c r="BO87" i="7"/>
  <c r="BN10" i="8" s="1"/>
  <c r="BP65" i="7"/>
  <c r="BJ9" i="3" s="1"/>
  <c r="BM90" i="7"/>
  <c r="BL13" i="8" s="1"/>
  <c r="BS96" i="7"/>
  <c r="BR19" i="8" s="1"/>
  <c r="BK91" i="7"/>
  <c r="BJ14" i="8"/>
  <c r="BL90" i="6"/>
  <c r="AB49" i="3"/>
  <c r="BL87" i="7"/>
  <c r="BX21" i="7"/>
  <c r="BY21" i="7" s="1"/>
  <c r="BL93" i="7"/>
  <c r="BX19" i="7"/>
  <c r="BY19" i="7" s="1"/>
  <c r="BL91" i="7"/>
  <c r="BK14" i="8" s="1"/>
  <c r="BX39" i="7"/>
  <c r="BL111" i="7"/>
  <c r="BK34" i="8" s="1"/>
  <c r="AV53" i="3"/>
  <c r="AO53" i="3"/>
  <c r="AO54" i="3"/>
  <c r="AT49" i="3"/>
  <c r="BD117" i="7"/>
  <c r="AX15" i="3" s="1"/>
  <c r="BA53" i="3"/>
  <c r="BA49" i="3"/>
  <c r="BA54" i="3"/>
  <c r="BK70" i="7"/>
  <c r="BQ113" i="7"/>
  <c r="BP36" i="8" s="1"/>
  <c r="BK78" i="7"/>
  <c r="BU103" i="7"/>
  <c r="BT26" i="8" s="1"/>
  <c r="BV93" i="7"/>
  <c r="BK92" i="7"/>
  <c r="BJ15" i="8"/>
  <c r="BS87" i="7"/>
  <c r="BR10" i="8" s="1"/>
  <c r="AN54" i="3"/>
  <c r="BO91" i="7"/>
  <c r="BN14" i="8" s="1"/>
  <c r="BP117" i="7"/>
  <c r="BJ15" i="3" s="1"/>
  <c r="AE20" i="3"/>
  <c r="AE30" i="3" s="1"/>
  <c r="BQ109" i="7"/>
  <c r="BX74" i="7"/>
  <c r="BQ92" i="7"/>
  <c r="BP15" i="8" s="1"/>
  <c r="BK60" i="7"/>
  <c r="BX98" i="7"/>
  <c r="BW21" i="8"/>
  <c r="BX21" i="8" s="1"/>
  <c r="BI117" i="7"/>
  <c r="BC15" i="3" s="1"/>
  <c r="BX99" i="7"/>
  <c r="BW22" i="8"/>
  <c r="BX22" i="8" s="1"/>
  <c r="AX81" i="7"/>
  <c r="BR81" i="7"/>
  <c r="BL10" i="3" s="1"/>
  <c r="BV91" i="7"/>
  <c r="BU14" i="8" s="1"/>
  <c r="BC54" i="3"/>
  <c r="BC49" i="3"/>
  <c r="BQ107" i="7"/>
  <c r="BP30" i="8" s="1"/>
  <c r="BX33" i="7"/>
  <c r="BF22" i="3"/>
  <c r="BR22" i="3" s="1"/>
  <c r="BQ87" i="7"/>
  <c r="BP10" i="8" s="1"/>
  <c r="BO95" i="7"/>
  <c r="BN18" i="8" s="1"/>
  <c r="AW26" i="8"/>
  <c r="BU110" i="7"/>
  <c r="BT33" i="8" s="1"/>
  <c r="BX75" i="7"/>
  <c r="BQ93" i="7"/>
  <c r="AX65" i="7"/>
  <c r="BK59" i="7"/>
  <c r="BM81" i="7"/>
  <c r="BG10" i="3" s="1"/>
  <c r="BO93" i="7"/>
  <c r="BX17" i="7"/>
  <c r="BY17" i="7" s="1"/>
  <c r="BL89" i="7"/>
  <c r="BX16" i="7"/>
  <c r="BY16" i="7" s="1"/>
  <c r="BL88" i="7"/>
  <c r="BX42" i="7"/>
  <c r="BY42" i="7" s="1"/>
  <c r="BL114" i="7"/>
  <c r="BK37" i="8" s="1"/>
  <c r="BX79" i="7"/>
  <c r="AH54" i="3"/>
  <c r="BU112" i="7"/>
  <c r="BT35" i="8" s="1"/>
  <c r="BQ88" i="7"/>
  <c r="BP11" i="8" s="1"/>
  <c r="BK114" i="7"/>
  <c r="BJ37" i="8"/>
  <c r="BX40" i="7"/>
  <c r="BX97" i="7"/>
  <c r="BW20" i="8"/>
  <c r="BX20" i="8" s="1"/>
  <c r="BF65" i="7"/>
  <c r="AZ9" i="3" s="1"/>
  <c r="BQ111" i="7"/>
  <c r="BP34" i="8" s="1"/>
  <c r="BO81" i="7"/>
  <c r="BI10" i="3" s="1"/>
  <c r="BM92" i="7"/>
  <c r="BL15" i="8" s="1"/>
  <c r="AT54" i="3"/>
  <c r="BH90" i="6"/>
  <c r="AT53" i="3"/>
  <c r="AB54" i="3"/>
  <c r="AV54" i="3"/>
  <c r="BX41" i="7"/>
  <c r="BY41" i="7" s="1"/>
  <c r="BL113" i="7"/>
  <c r="BK36" i="8" s="1"/>
  <c r="BX34" i="7"/>
  <c r="BL106" i="7"/>
  <c r="BK29" i="8" s="1"/>
  <c r="BX71" i="7"/>
  <c r="BS91" i="7"/>
  <c r="BR14" i="8" s="1"/>
  <c r="BS81" i="7"/>
  <c r="BM10" i="3" s="1"/>
  <c r="BJ35" i="8"/>
  <c r="BX62" i="7"/>
  <c r="BK113" i="7"/>
  <c r="BJ36" i="8"/>
  <c r="BN81" i="7"/>
  <c r="BH10" i="3" s="1"/>
  <c r="BK94" i="7"/>
  <c r="BJ17" i="8"/>
  <c r="BO90" i="7"/>
  <c r="BN13" i="8" s="1"/>
  <c r="BJ28" i="8"/>
  <c r="BS88" i="7"/>
  <c r="BR11" i="8" s="1"/>
  <c r="BH117" i="7"/>
  <c r="BB15" i="3" s="1"/>
  <c r="BX32" i="7"/>
  <c r="BK95" i="7"/>
  <c r="BJ18" i="8"/>
  <c r="BI65" i="7"/>
  <c r="BC9" i="3" s="1"/>
  <c r="BC13" i="3" s="1"/>
  <c r="BB117" i="7"/>
  <c r="AV15" i="3" s="1"/>
  <c r="BR117" i="7"/>
  <c r="BL15" i="3" s="1"/>
  <c r="BK104" i="7"/>
  <c r="BR65" i="7"/>
  <c r="BL9" i="3" s="1"/>
  <c r="BK89" i="7"/>
  <c r="BT65" i="7"/>
  <c r="BN9" i="3" s="1"/>
  <c r="BO88" i="7"/>
  <c r="BN11" i="8" s="1"/>
  <c r="BB65" i="7"/>
  <c r="AV9" i="3" s="1"/>
  <c r="BK55" i="7"/>
  <c r="BK108" i="7"/>
  <c r="BJ31" i="8"/>
  <c r="BT55" i="11"/>
  <c r="BU55" i="11" s="1"/>
  <c r="BT25" i="11"/>
  <c r="Y31" i="11"/>
  <c r="W25" i="3" s="1"/>
  <c r="P39" i="8"/>
  <c r="K21" i="3" s="1"/>
  <c r="I11" i="2" s="1"/>
  <c r="R39" i="8"/>
  <c r="M21" i="3" s="1"/>
  <c r="K11" i="2" s="1"/>
  <c r="L39" i="8"/>
  <c r="G21" i="3" s="1"/>
  <c r="K39" i="8"/>
  <c r="F21" i="3" s="1"/>
  <c r="N39" i="8"/>
  <c r="I21" i="3" s="1"/>
  <c r="G11" i="2" s="1"/>
  <c r="O39" i="8"/>
  <c r="J21" i="3" s="1"/>
  <c r="H11" i="2" s="1"/>
  <c r="U39" i="8"/>
  <c r="P21" i="3" s="1"/>
  <c r="N11" i="2" s="1"/>
  <c r="Q39" i="8"/>
  <c r="L21" i="3" s="1"/>
  <c r="J11" i="2" s="1"/>
  <c r="M39" i="8"/>
  <c r="H21" i="3" s="1"/>
  <c r="AJ32" i="8"/>
  <c r="AJ39" i="8" s="1"/>
  <c r="T39" i="8"/>
  <c r="O21" i="3" s="1"/>
  <c r="M11" i="2" s="1"/>
  <c r="S39" i="8"/>
  <c r="N21" i="3" s="1"/>
  <c r="L11" i="2" s="1"/>
  <c r="V39" i="8"/>
  <c r="Q21" i="3" s="1"/>
  <c r="O11" i="2" s="1"/>
  <c r="BG90" i="6"/>
  <c r="U53" i="3"/>
  <c r="U49" i="3"/>
  <c r="U54" i="3"/>
  <c r="Y54" i="3"/>
  <c r="Y49" i="3"/>
  <c r="Y53" i="3"/>
  <c r="BX15" i="7"/>
  <c r="BY15" i="7" s="1"/>
  <c r="BK52" i="7"/>
  <c r="W32" i="8"/>
  <c r="W39" i="8" s="1"/>
  <c r="BJ21" i="4"/>
  <c r="BM21" i="4"/>
  <c r="L121" i="1"/>
  <c r="BZ12" i="14"/>
  <c r="BV13" i="14" s="1"/>
  <c r="BQ21" i="4"/>
  <c r="BP21" i="4"/>
  <c r="BL21" i="4"/>
  <c r="BS62" i="3"/>
  <c r="BF90" i="6"/>
  <c r="AS90" i="6"/>
  <c r="AF90" i="6"/>
  <c r="AU63" i="11"/>
  <c r="BG15" i="11"/>
  <c r="AV63" i="11"/>
  <c r="V63" i="11"/>
  <c r="AW63" i="11"/>
  <c r="AI63" i="11"/>
  <c r="BG21" i="4"/>
  <c r="F87" i="1"/>
  <c r="BA24" i="11"/>
  <c r="AZ23" i="11"/>
  <c r="AZ31" i="11" s="1"/>
  <c r="AX25" i="3" s="1"/>
  <c r="N10" i="14"/>
  <c r="O11" i="14"/>
  <c r="M75" i="16"/>
  <c r="N75" i="16"/>
  <c r="G116" i="16"/>
  <c r="H116" i="16" s="1"/>
  <c r="S26" i="11"/>
  <c r="S25" i="11" s="1"/>
  <c r="R25" i="11"/>
  <c r="H63" i="11"/>
  <c r="AC14" i="11"/>
  <c r="AB13" i="11"/>
  <c r="J78" i="16"/>
  <c r="K42" i="16"/>
  <c r="U42" i="16"/>
  <c r="AA42" i="16" s="1"/>
  <c r="L42" i="16"/>
  <c r="K58" i="16"/>
  <c r="U58" i="16"/>
  <c r="AA58" i="16" s="1"/>
  <c r="L58" i="16"/>
  <c r="G93" i="16"/>
  <c r="H93" i="16" s="1"/>
  <c r="M52" i="16"/>
  <c r="N52" i="16"/>
  <c r="S61" i="16"/>
  <c r="L22" i="16"/>
  <c r="N22" i="16" s="1"/>
  <c r="K47" i="16"/>
  <c r="U47" i="16"/>
  <c r="AA47" i="16" s="1"/>
  <c r="L47" i="16"/>
  <c r="G118" i="16"/>
  <c r="H118" i="16" s="1"/>
  <c r="N77" i="16"/>
  <c r="M77" i="16"/>
  <c r="U68" i="16"/>
  <c r="AA68" i="16" s="1"/>
  <c r="L68" i="16"/>
  <c r="K68" i="16"/>
  <c r="I39" i="2"/>
  <c r="AS14" i="11"/>
  <c r="AS13" i="11" s="1"/>
  <c r="AR13" i="11"/>
  <c r="R13" i="4"/>
  <c r="Q13" i="4"/>
  <c r="AQ105" i="13"/>
  <c r="AO69" i="3" s="1"/>
  <c r="BI105" i="13"/>
  <c r="BG69" i="3" s="1"/>
  <c r="AL105" i="13"/>
  <c r="AJ69" i="3" s="1"/>
  <c r="M105" i="13"/>
  <c r="K69" i="3" s="1"/>
  <c r="AV105" i="13"/>
  <c r="AT69" i="3" s="1"/>
  <c r="P105" i="13"/>
  <c r="N69" i="3" s="1"/>
  <c r="AY105" i="13"/>
  <c r="AW69" i="3" s="1"/>
  <c r="N105" i="13"/>
  <c r="L69" i="3" s="1"/>
  <c r="AE105" i="13"/>
  <c r="AC69" i="3" s="1"/>
  <c r="AW105" i="13"/>
  <c r="AU69" i="3" s="1"/>
  <c r="BN105" i="13"/>
  <c r="BL69" i="3" s="1"/>
  <c r="S105" i="13"/>
  <c r="Q69" i="3" s="1"/>
  <c r="AK105" i="13"/>
  <c r="AI69" i="3" s="1"/>
  <c r="BB105" i="13"/>
  <c r="AZ69" i="3" s="1"/>
  <c r="BS105" i="13"/>
  <c r="BQ69" i="3" s="1"/>
  <c r="S64" i="16"/>
  <c r="L25" i="16"/>
  <c r="N25" i="16" s="1"/>
  <c r="R72" i="16"/>
  <c r="Q72" i="16"/>
  <c r="I113" i="16"/>
  <c r="BS52" i="3"/>
  <c r="BJ63" i="11"/>
  <c r="AJ63" i="11"/>
  <c r="AA16" i="11"/>
  <c r="Z15" i="11"/>
  <c r="L66" i="11"/>
  <c r="M8" i="11"/>
  <c r="L7" i="11"/>
  <c r="BU21" i="11"/>
  <c r="I89" i="16"/>
  <c r="Q48" i="16"/>
  <c r="R48" i="16"/>
  <c r="S75" i="16"/>
  <c r="L36" i="16"/>
  <c r="N36" i="16" s="1"/>
  <c r="U63" i="16"/>
  <c r="AA63" i="16" s="1"/>
  <c r="L63" i="16"/>
  <c r="K63" i="16"/>
  <c r="G101" i="16"/>
  <c r="H101" i="16" s="1"/>
  <c r="M60" i="16"/>
  <c r="N60" i="16"/>
  <c r="G108" i="16"/>
  <c r="H108" i="16" s="1"/>
  <c r="N67" i="16"/>
  <c r="M67" i="16"/>
  <c r="L31" i="16"/>
  <c r="N31" i="16" s="1"/>
  <c r="R76" i="7" s="1"/>
  <c r="S70" i="16"/>
  <c r="BT53" i="6"/>
  <c r="BT55" i="6" s="1"/>
  <c r="S55" i="6"/>
  <c r="U52" i="6" s="1"/>
  <c r="U55" i="6" s="1"/>
  <c r="AS24" i="11"/>
  <c r="AS23" i="11" s="1"/>
  <c r="AS31" i="11" s="1"/>
  <c r="AQ25" i="3" s="1"/>
  <c r="AR23" i="11"/>
  <c r="AR31" i="11" s="1"/>
  <c r="AP25" i="3" s="1"/>
  <c r="J13" i="4"/>
  <c r="L7" i="16"/>
  <c r="N7" i="16" s="1"/>
  <c r="S46" i="16"/>
  <c r="K54" i="16"/>
  <c r="L54" i="16"/>
  <c r="U54" i="16"/>
  <c r="AA54" i="16" s="1"/>
  <c r="K71" i="16"/>
  <c r="U71" i="16"/>
  <c r="AA71" i="16" s="1"/>
  <c r="L71" i="16"/>
  <c r="BR21" i="4"/>
  <c r="L11" i="16"/>
  <c r="N11" i="16" s="1"/>
  <c r="S50" i="16"/>
  <c r="S77" i="16"/>
  <c r="L38" i="16"/>
  <c r="N38" i="16" s="1"/>
  <c r="I99" i="16"/>
  <c r="R58" i="16"/>
  <c r="Q58" i="16"/>
  <c r="G84" i="16"/>
  <c r="H84" i="16" s="1"/>
  <c r="N43" i="16"/>
  <c r="M43" i="16"/>
  <c r="I88" i="16"/>
  <c r="R47" i="16"/>
  <c r="Q47" i="16"/>
  <c r="K73" i="16"/>
  <c r="L73" i="16"/>
  <c r="U73" i="16"/>
  <c r="AA73" i="16" s="1"/>
  <c r="I109" i="16"/>
  <c r="R68" i="16"/>
  <c r="Q68" i="16"/>
  <c r="W63" i="11"/>
  <c r="BU43" i="11"/>
  <c r="BQ105" i="13"/>
  <c r="BO69" i="3" s="1"/>
  <c r="Q105" i="13"/>
  <c r="O69" i="3" s="1"/>
  <c r="L105" i="13"/>
  <c r="J69" i="3" s="1"/>
  <c r="AU105" i="13"/>
  <c r="AS69" i="3" s="1"/>
  <c r="AS70" i="3" s="1"/>
  <c r="V105" i="13"/>
  <c r="T69" i="3" s="1"/>
  <c r="BD105" i="13"/>
  <c r="BB69" i="3" s="1"/>
  <c r="Y105" i="13"/>
  <c r="W69" i="3" s="1"/>
  <c r="BH105" i="13"/>
  <c r="BF69" i="3" s="1"/>
  <c r="BF70" i="3" s="1"/>
  <c r="R105" i="13"/>
  <c r="P69" i="3" s="1"/>
  <c r="AJ105" i="13"/>
  <c r="AH69" i="3" s="1"/>
  <c r="BA105" i="13"/>
  <c r="AY69" i="3" s="1"/>
  <c r="BR105" i="13"/>
  <c r="BP69" i="3" s="1"/>
  <c r="X105" i="13"/>
  <c r="V69" i="3" s="1"/>
  <c r="AO105" i="13"/>
  <c r="AM69" i="3" s="1"/>
  <c r="BF105" i="13"/>
  <c r="BD69" i="3" s="1"/>
  <c r="CH11" i="14"/>
  <c r="CG10" i="14"/>
  <c r="L72" i="16"/>
  <c r="K72" i="16"/>
  <c r="U72" i="16"/>
  <c r="AA72" i="16" s="1"/>
  <c r="BO21" i="4"/>
  <c r="BQ14" i="11"/>
  <c r="BP13" i="11"/>
  <c r="J63" i="11"/>
  <c r="AM8" i="11"/>
  <c r="AL7" i="11"/>
  <c r="G105" i="16"/>
  <c r="H105" i="16" s="1"/>
  <c r="M64" i="16"/>
  <c r="N64" i="16"/>
  <c r="N46" i="16"/>
  <c r="M46" i="16"/>
  <c r="G87" i="16"/>
  <c r="H87" i="16" s="1"/>
  <c r="I104" i="16"/>
  <c r="R63" i="16"/>
  <c r="Q63" i="16"/>
  <c r="K62" i="16"/>
  <c r="L62" i="16"/>
  <c r="U62" i="16"/>
  <c r="AA62" i="16" s="1"/>
  <c r="K66" i="16"/>
  <c r="U66" i="16"/>
  <c r="AA66" i="16" s="1"/>
  <c r="L66" i="16"/>
  <c r="H52" i="6"/>
  <c r="BN21" i="4"/>
  <c r="AP42" i="11"/>
  <c r="AO41" i="11"/>
  <c r="S15" i="11"/>
  <c r="R15" i="11"/>
  <c r="G91" i="16"/>
  <c r="H91" i="16" s="1"/>
  <c r="N50" i="16"/>
  <c r="M50" i="16"/>
  <c r="G92" i="16"/>
  <c r="H92" i="16" s="1"/>
  <c r="M51" i="16"/>
  <c r="N51" i="16"/>
  <c r="Q54" i="16"/>
  <c r="I95" i="16"/>
  <c r="R54" i="16"/>
  <c r="I112" i="16"/>
  <c r="R71" i="16"/>
  <c r="Q71" i="16"/>
  <c r="AH63" i="11"/>
  <c r="BH63" i="11"/>
  <c r="BA14" i="11"/>
  <c r="AZ13" i="11"/>
  <c r="BT95" i="6"/>
  <c r="AZ8" i="11"/>
  <c r="AY7" i="11"/>
  <c r="N13" i="4"/>
  <c r="M13" i="4"/>
  <c r="BM8" i="11"/>
  <c r="BL7" i="11"/>
  <c r="R73" i="16"/>
  <c r="I114" i="16"/>
  <c r="Q73" i="16"/>
  <c r="U55" i="16"/>
  <c r="AA55" i="16" s="1"/>
  <c r="L55" i="16"/>
  <c r="K55" i="16"/>
  <c r="AC24" i="11"/>
  <c r="AB23" i="11"/>
  <c r="BI63" i="11"/>
  <c r="L31" i="11"/>
  <c r="J25" i="3" s="1"/>
  <c r="AI105" i="13"/>
  <c r="AG69" i="3" s="1"/>
  <c r="AZ105" i="13"/>
  <c r="AX69" i="3" s="1"/>
  <c r="U105" i="13"/>
  <c r="S69" i="3" s="1"/>
  <c r="S70" i="3" s="1"/>
  <c r="BC105" i="13"/>
  <c r="BA69" i="3" s="1"/>
  <c r="AD105" i="13"/>
  <c r="AB69" i="3" s="1"/>
  <c r="BM105" i="13"/>
  <c r="BK69" i="3" s="1"/>
  <c r="AH105" i="13"/>
  <c r="AF69" i="3" s="1"/>
  <c r="AF70" i="3" s="1"/>
  <c r="BP105" i="13"/>
  <c r="BN69" i="3" s="1"/>
  <c r="W105" i="13"/>
  <c r="U69" i="3" s="1"/>
  <c r="AN105" i="13"/>
  <c r="AL69" i="3" s="1"/>
  <c r="BE105" i="13"/>
  <c r="BC69" i="3" s="1"/>
  <c r="K105" i="13"/>
  <c r="I69" i="3" s="1"/>
  <c r="AB105" i="13"/>
  <c r="Z69" i="3" s="1"/>
  <c r="AS105" i="13"/>
  <c r="AQ69" i="3" s="1"/>
  <c r="BK105" i="13"/>
  <c r="BI69" i="3" s="1"/>
  <c r="N76" i="16"/>
  <c r="M76" i="16"/>
  <c r="G117" i="16"/>
  <c r="H117" i="16" s="1"/>
  <c r="BI21" i="4"/>
  <c r="AA26" i="11"/>
  <c r="Z25" i="11"/>
  <c r="J31" i="4"/>
  <c r="BU27" i="11"/>
  <c r="I13" i="14"/>
  <c r="F76" i="3" s="1"/>
  <c r="C12" i="14"/>
  <c r="U44" i="16"/>
  <c r="AA44" i="16" s="1"/>
  <c r="L44" i="16"/>
  <c r="K44" i="16"/>
  <c r="L12" i="16"/>
  <c r="N12" i="16" s="1"/>
  <c r="S51" i="16"/>
  <c r="G100" i="16"/>
  <c r="H100" i="16" s="1"/>
  <c r="N59" i="16"/>
  <c r="M59" i="16"/>
  <c r="Q62" i="16"/>
  <c r="I103" i="16"/>
  <c r="R62" i="16"/>
  <c r="I107" i="16"/>
  <c r="R66" i="16"/>
  <c r="Q66" i="16"/>
  <c r="AS40" i="2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L39" i="1"/>
  <c r="N24" i="11"/>
  <c r="M23" i="11"/>
  <c r="M31" i="11" s="1"/>
  <c r="K25" i="3" s="1"/>
  <c r="BH21" i="4"/>
  <c r="S56" i="16"/>
  <c r="L17" i="16"/>
  <c r="N17" i="16" s="1"/>
  <c r="S74" i="16"/>
  <c r="L35" i="16"/>
  <c r="N35" i="16" s="1"/>
  <c r="Y7" i="11"/>
  <c r="I71" i="6"/>
  <c r="AF38" i="11"/>
  <c r="AF37" i="11" s="1"/>
  <c r="AE37" i="11"/>
  <c r="O78" i="16"/>
  <c r="O79" i="16" s="1"/>
  <c r="P42" i="16"/>
  <c r="S53" i="16"/>
  <c r="L14" i="16"/>
  <c r="N14" i="16" s="1"/>
  <c r="G97" i="16"/>
  <c r="H97" i="16" s="1"/>
  <c r="M56" i="16"/>
  <c r="N56" i="16"/>
  <c r="N74" i="16"/>
  <c r="G115" i="16"/>
  <c r="H115" i="16" s="1"/>
  <c r="M74" i="16"/>
  <c r="I96" i="16"/>
  <c r="R55" i="16"/>
  <c r="Q55" i="16"/>
  <c r="BK21" i="4"/>
  <c r="I63" i="11"/>
  <c r="AD42" i="11"/>
  <c r="AC41" i="11"/>
  <c r="BF42" i="11"/>
  <c r="BF41" i="11" s="1"/>
  <c r="BE41" i="11"/>
  <c r="I105" i="13"/>
  <c r="G69" i="3" s="1"/>
  <c r="Z105" i="13"/>
  <c r="X69" i="3" s="1"/>
  <c r="AC105" i="13"/>
  <c r="AA69" i="3" s="1"/>
  <c r="BL105" i="13"/>
  <c r="BJ69" i="3" s="1"/>
  <c r="AM105" i="13"/>
  <c r="AK69" i="3" s="1"/>
  <c r="H105" i="13"/>
  <c r="F69" i="3" s="1"/>
  <c r="F70" i="3" s="1"/>
  <c r="AP105" i="13"/>
  <c r="AN69" i="3" s="1"/>
  <c r="J105" i="13"/>
  <c r="H69" i="3" s="1"/>
  <c r="AA105" i="13"/>
  <c r="Y69" i="3" s="1"/>
  <c r="AR105" i="13"/>
  <c r="AP69" i="3" s="1"/>
  <c r="BJ105" i="13"/>
  <c r="BH69" i="3" s="1"/>
  <c r="O105" i="13"/>
  <c r="M69" i="3" s="1"/>
  <c r="AF105" i="13"/>
  <c r="AD69" i="3" s="1"/>
  <c r="AX105" i="13"/>
  <c r="AV69" i="3" s="1"/>
  <c r="BO105" i="13"/>
  <c r="BM69" i="3" s="1"/>
  <c r="T82" i="6"/>
  <c r="U78" i="6" s="1"/>
  <c r="U82" i="6" s="1"/>
  <c r="V78" i="6" s="1"/>
  <c r="V82" i="6" s="1"/>
  <c r="W78" i="6" s="1"/>
  <c r="W82" i="6" s="1"/>
  <c r="X78" i="6" s="1"/>
  <c r="X82" i="6" s="1"/>
  <c r="Y78" i="6" s="1"/>
  <c r="Y82" i="6" s="1"/>
  <c r="Z78" i="6" s="1"/>
  <c r="Z82" i="6" s="1"/>
  <c r="AA78" i="6" s="1"/>
  <c r="AA82" i="6" s="1"/>
  <c r="AB78" i="6" s="1"/>
  <c r="AB82" i="6" s="1"/>
  <c r="AC78" i="6" s="1"/>
  <c r="AC82" i="6" s="1"/>
  <c r="AD78" i="6" s="1"/>
  <c r="AD82" i="6" s="1"/>
  <c r="AE78" i="6" s="1"/>
  <c r="AE82" i="6" s="1"/>
  <c r="AG78" i="6" s="1"/>
  <c r="AF78" i="6"/>
  <c r="AF82" i="6" s="1"/>
  <c r="P29" i="11"/>
  <c r="U63" i="11"/>
  <c r="O121" i="1"/>
  <c r="B120" i="10"/>
  <c r="M13" i="11"/>
  <c r="U48" i="16"/>
  <c r="AA48" i="16" s="1"/>
  <c r="L48" i="16"/>
  <c r="K48" i="16"/>
  <c r="I85" i="16"/>
  <c r="Q44" i="16"/>
  <c r="R44" i="16"/>
  <c r="S76" i="16"/>
  <c r="L37" i="16"/>
  <c r="N37" i="16" s="1"/>
  <c r="E119" i="16"/>
  <c r="G94" i="16"/>
  <c r="H94" i="16" s="1"/>
  <c r="N53" i="16"/>
  <c r="M53" i="16"/>
  <c r="S43" i="16"/>
  <c r="L4" i="16"/>
  <c r="N4" i="16" s="1"/>
  <c r="AZ12" i="11" l="1"/>
  <c r="AY19" i="11"/>
  <c r="AY11" i="11"/>
  <c r="AY17" i="11" s="1"/>
  <c r="AX17" i="11"/>
  <c r="AV40" i="3" s="1"/>
  <c r="AM12" i="11"/>
  <c r="AL19" i="11"/>
  <c r="AL11" i="11"/>
  <c r="AL17" i="11" s="1"/>
  <c r="AJ40" i="3" s="1"/>
  <c r="AJ64" i="3" s="1"/>
  <c r="AK17" i="11"/>
  <c r="AI40" i="3" s="1"/>
  <c r="X17" i="11"/>
  <c r="V40" i="3" s="1"/>
  <c r="Z12" i="11"/>
  <c r="Y19" i="11"/>
  <c r="Y11" i="11"/>
  <c r="Y17" i="11" s="1"/>
  <c r="BM10" i="11"/>
  <c r="BL19" i="11"/>
  <c r="BL9" i="11"/>
  <c r="BK17" i="11"/>
  <c r="BI40" i="3" s="1"/>
  <c r="BL33" i="11"/>
  <c r="BL23" i="11"/>
  <c r="BL31" i="11" s="1"/>
  <c r="BJ25" i="3" s="1"/>
  <c r="BM24" i="11"/>
  <c r="BL66" i="11"/>
  <c r="AZ50" i="11"/>
  <c r="AY61" i="11"/>
  <c r="AY49" i="11"/>
  <c r="AY59" i="11" s="1"/>
  <c r="X63" i="11"/>
  <c r="L61" i="11"/>
  <c r="L49" i="11"/>
  <c r="L59" i="11" s="1"/>
  <c r="M50" i="11"/>
  <c r="M66" i="11" s="1"/>
  <c r="AM50" i="11"/>
  <c r="AL61" i="11"/>
  <c r="AL49" i="11"/>
  <c r="AL59" i="11" s="1"/>
  <c r="AD54" i="11"/>
  <c r="AC53" i="11"/>
  <c r="AK59" i="11"/>
  <c r="Y61" i="11"/>
  <c r="Z50" i="11"/>
  <c r="Y49" i="11"/>
  <c r="Y59" i="11" s="1"/>
  <c r="AY66" i="11"/>
  <c r="BL61" i="11"/>
  <c r="BM50" i="11"/>
  <c r="BL49" i="11"/>
  <c r="BL59" i="11" s="1"/>
  <c r="BK45" i="11"/>
  <c r="S36" i="11"/>
  <c r="AZ36" i="11"/>
  <c r="AZ66" i="11" s="1"/>
  <c r="AY47" i="11"/>
  <c r="AY35" i="11"/>
  <c r="AY45" i="11" s="1"/>
  <c r="Z36" i="11"/>
  <c r="Y47" i="11"/>
  <c r="Y35" i="11"/>
  <c r="M40" i="11"/>
  <c r="L47" i="11"/>
  <c r="L39" i="11"/>
  <c r="L45" i="11" s="1"/>
  <c r="Y66" i="11"/>
  <c r="AM36" i="11"/>
  <c r="AL47" i="11"/>
  <c r="AL35" i="11"/>
  <c r="AL45" i="11" s="1"/>
  <c r="AJ26" i="3" s="1"/>
  <c r="AJ27" i="3" s="1"/>
  <c r="K45" i="11"/>
  <c r="BM36" i="11"/>
  <c r="BL47" i="11"/>
  <c r="BL35" i="11"/>
  <c r="BL45" i="11" s="1"/>
  <c r="BJ26" i="3" s="1"/>
  <c r="AK45" i="11"/>
  <c r="AX45" i="11"/>
  <c r="N54" i="11"/>
  <c r="M53" i="11"/>
  <c r="AD13" i="4"/>
  <c r="Z13" i="4"/>
  <c r="S16" i="3"/>
  <c r="S28" i="2" s="1"/>
  <c r="S9" i="2"/>
  <c r="U13" i="4" s="1"/>
  <c r="AK48" i="8"/>
  <c r="AF19" i="3" s="1"/>
  <c r="AE8" i="3"/>
  <c r="I50" i="1" s="1"/>
  <c r="BV122" i="7"/>
  <c r="BV129" i="7" s="1"/>
  <c r="BT121" i="7"/>
  <c r="BT128" i="7" s="1"/>
  <c r="AJ48" i="8"/>
  <c r="R60" i="3"/>
  <c r="F84" i="1" s="1"/>
  <c r="BW123" i="7"/>
  <c r="BW130" i="7" s="1"/>
  <c r="AB13" i="4"/>
  <c r="AI24" i="3"/>
  <c r="BW117" i="7"/>
  <c r="BQ15" i="3" s="1"/>
  <c r="BH45" i="8"/>
  <c r="AL132" i="7"/>
  <c r="AF8" i="3" s="1"/>
  <c r="AF60" i="3" s="1"/>
  <c r="BI46" i="8"/>
  <c r="BI48" i="8" s="1"/>
  <c r="BD19" i="3" s="1"/>
  <c r="AU14" i="3"/>
  <c r="AN11" i="2"/>
  <c r="BT117" i="7"/>
  <c r="BN15" i="3" s="1"/>
  <c r="BF45" i="8"/>
  <c r="AL48" i="8"/>
  <c r="AG19" i="3" s="1"/>
  <c r="AK24" i="3"/>
  <c r="BK47" i="8"/>
  <c r="BL131" i="7"/>
  <c r="AX45" i="8"/>
  <c r="AY129" i="7"/>
  <c r="BK129" i="7" s="1"/>
  <c r="AX44" i="8"/>
  <c r="AY128" i="7"/>
  <c r="BK128" i="7" s="1"/>
  <c r="AY47" i="8"/>
  <c r="AY48" i="8" s="1"/>
  <c r="AT19" i="3" s="1"/>
  <c r="AZ131" i="7"/>
  <c r="AX46" i="8"/>
  <c r="AY130" i="7"/>
  <c r="BK130" i="7" s="1"/>
  <c r="AQ9" i="2"/>
  <c r="L8" i="1" s="1"/>
  <c r="AQ60" i="3"/>
  <c r="AB44" i="3"/>
  <c r="AN9" i="2"/>
  <c r="AP13" i="4" s="1"/>
  <c r="AN60" i="3"/>
  <c r="BH132" i="7"/>
  <c r="BB8" i="3" s="1"/>
  <c r="AS132" i="7"/>
  <c r="AM8" i="3" s="1"/>
  <c r="AM9" i="2" s="1"/>
  <c r="BJ132" i="7"/>
  <c r="BD8" i="3" s="1"/>
  <c r="BD9" i="2" s="1"/>
  <c r="BC132" i="7"/>
  <c r="AW8" i="3" s="1"/>
  <c r="AW9" i="2" s="1"/>
  <c r="AX129" i="7"/>
  <c r="AO132" i="7"/>
  <c r="AI8" i="3" s="1"/>
  <c r="AI16" i="3" s="1"/>
  <c r="AI44" i="3" s="1"/>
  <c r="AV132" i="7"/>
  <c r="AP8" i="3" s="1"/>
  <c r="AP60" i="3" s="1"/>
  <c r="AS48" i="8"/>
  <c r="AN19" i="3" s="1"/>
  <c r="AW45" i="8"/>
  <c r="AZ54" i="3"/>
  <c r="AX128" i="7"/>
  <c r="AQ132" i="7"/>
  <c r="AK8" i="3" s="1"/>
  <c r="AK9" i="2" s="1"/>
  <c r="AL13" i="4" s="1"/>
  <c r="BD48" i="8"/>
  <c r="AY19" i="3" s="1"/>
  <c r="BG48" i="8"/>
  <c r="BB19" i="3" s="1"/>
  <c r="AW46" i="8"/>
  <c r="AZ48" i="8"/>
  <c r="AU19" i="3" s="1"/>
  <c r="BL13" i="3"/>
  <c r="BL24" i="3" s="1"/>
  <c r="AE14" i="3"/>
  <c r="AI11" i="2"/>
  <c r="BJ16" i="8"/>
  <c r="BF23" i="8"/>
  <c r="BA20" i="3" s="1"/>
  <c r="AW44" i="8"/>
  <c r="AU48" i="8"/>
  <c r="AP19" i="3" s="1"/>
  <c r="BM47" i="8"/>
  <c r="BA45" i="8"/>
  <c r="BL45" i="8"/>
  <c r="BO47" i="8"/>
  <c r="BC44" i="8"/>
  <c r="BP47" i="8"/>
  <c r="BN132" i="7"/>
  <c r="BH8" i="3" s="1"/>
  <c r="BM44" i="8"/>
  <c r="BH46" i="8"/>
  <c r="BF132" i="7"/>
  <c r="AZ8" i="3" s="1"/>
  <c r="BE44" i="8"/>
  <c r="BT46" i="8"/>
  <c r="BR46" i="8"/>
  <c r="BS45" i="8"/>
  <c r="BV47" i="8"/>
  <c r="BL123" i="7"/>
  <c r="BK12" i="8"/>
  <c r="AX13" i="3"/>
  <c r="AX14" i="3" s="1"/>
  <c r="AN16" i="3"/>
  <c r="AN44" i="3" s="1"/>
  <c r="BA44" i="8"/>
  <c r="BU45" i="8"/>
  <c r="BT45" i="8"/>
  <c r="BQ47" i="8"/>
  <c r="BT47" i="8"/>
  <c r="BI132" i="7"/>
  <c r="BC8" i="3" s="1"/>
  <c r="BH44" i="8"/>
  <c r="BR47" i="8"/>
  <c r="BM46" i="8"/>
  <c r="BQ44" i="8"/>
  <c r="BU47" i="8"/>
  <c r="BB48" i="8"/>
  <c r="AW19" i="3" s="1"/>
  <c r="AR48" i="8"/>
  <c r="AM19" i="3" s="1"/>
  <c r="AV48" i="8"/>
  <c r="AQ19" i="3" s="1"/>
  <c r="AW47" i="8"/>
  <c r="BO46" i="8"/>
  <c r="BE45" i="8"/>
  <c r="BA46" i="8"/>
  <c r="BV45" i="8"/>
  <c r="BC45" i="8"/>
  <c r="BL122" i="7"/>
  <c r="BK11" i="8"/>
  <c r="BL121" i="7"/>
  <c r="BK10" i="8"/>
  <c r="AS13" i="3"/>
  <c r="BX104" i="7"/>
  <c r="BT27" i="8"/>
  <c r="BC46" i="8"/>
  <c r="BV44" i="8"/>
  <c r="BO44" i="8"/>
  <c r="BS46" i="8"/>
  <c r="BO45" i="8"/>
  <c r="BV46" i="8"/>
  <c r="BR132" i="7"/>
  <c r="BL8" i="3" s="1"/>
  <c r="BQ46" i="8"/>
  <c r="BL46" i="8"/>
  <c r="BS47" i="8"/>
  <c r="BQ45" i="8"/>
  <c r="BT44" i="8"/>
  <c r="BA47" i="8"/>
  <c r="BM45" i="8"/>
  <c r="BG132" i="7"/>
  <c r="BA8" i="3" s="1"/>
  <c r="BA60" i="3" s="1"/>
  <c r="BF44" i="8"/>
  <c r="AN48" i="8"/>
  <c r="AI19" i="3" s="1"/>
  <c r="AP48" i="8"/>
  <c r="AK19" i="3" s="1"/>
  <c r="BJ13" i="3"/>
  <c r="BJ14" i="3" s="1"/>
  <c r="AG24" i="3"/>
  <c r="BA14" i="3"/>
  <c r="AZ53" i="3"/>
  <c r="BH13" i="3"/>
  <c r="BH24" i="3" s="1"/>
  <c r="AV13" i="3"/>
  <c r="AV14" i="3" s="1"/>
  <c r="AZ49" i="3"/>
  <c r="AH27" i="3"/>
  <c r="AH36" i="3" s="1"/>
  <c r="AW32" i="8"/>
  <c r="AW39" i="8" s="1"/>
  <c r="AG11" i="2"/>
  <c r="E32" i="8"/>
  <c r="AZ32" i="8"/>
  <c r="AZ39" i="8" s="1"/>
  <c r="AU21" i="3" s="1"/>
  <c r="BD32" i="8"/>
  <c r="BD39" i="8" s="1"/>
  <c r="AY21" i="3" s="1"/>
  <c r="AW11" i="2" s="1"/>
  <c r="BH32" i="8"/>
  <c r="BH39" i="8" s="1"/>
  <c r="BC21" i="3" s="1"/>
  <c r="AY32" i="8"/>
  <c r="AY39" i="8" s="1"/>
  <c r="AT21" i="3" s="1"/>
  <c r="AQ11" i="2" s="1"/>
  <c r="BE32" i="8"/>
  <c r="BE39" i="8" s="1"/>
  <c r="AZ21" i="3" s="1"/>
  <c r="BA32" i="8"/>
  <c r="BA39" i="8" s="1"/>
  <c r="AV21" i="3" s="1"/>
  <c r="BG32" i="8"/>
  <c r="BG39" i="8" s="1"/>
  <c r="BB21" i="3" s="1"/>
  <c r="BB32" i="8"/>
  <c r="BB39" i="8" s="1"/>
  <c r="AW21" i="3" s="1"/>
  <c r="BI32" i="8"/>
  <c r="BI39" i="8" s="1"/>
  <c r="BD21" i="3" s="1"/>
  <c r="BB11" i="2" s="1"/>
  <c r="AX32" i="8"/>
  <c r="AX39" i="8" s="1"/>
  <c r="AS21" i="3" s="1"/>
  <c r="BC32" i="8"/>
  <c r="BC39" i="8" s="1"/>
  <c r="AX21" i="3" s="1"/>
  <c r="BF32" i="8"/>
  <c r="BF39" i="8" s="1"/>
  <c r="BA21" i="3" s="1"/>
  <c r="BM16" i="8"/>
  <c r="BM23" i="8" s="1"/>
  <c r="BH20" i="3" s="1"/>
  <c r="BQ16" i="8"/>
  <c r="BQ23" i="8" s="1"/>
  <c r="BL20" i="3" s="1"/>
  <c r="BU16" i="8"/>
  <c r="BN16" i="8"/>
  <c r="BS16" i="8"/>
  <c r="BS23" i="8" s="1"/>
  <c r="BN20" i="3" s="1"/>
  <c r="BK16" i="8"/>
  <c r="BL16" i="8"/>
  <c r="BL23" i="8" s="1"/>
  <c r="BG20" i="3" s="1"/>
  <c r="BT16" i="8"/>
  <c r="BT23" i="8" s="1"/>
  <c r="BO20" i="3" s="1"/>
  <c r="BO16" i="8"/>
  <c r="BV16" i="8"/>
  <c r="BV23" i="8" s="1"/>
  <c r="BQ20" i="3" s="1"/>
  <c r="BQ30" i="3" s="1"/>
  <c r="BP16" i="8"/>
  <c r="BR16" i="8"/>
  <c r="BO23" i="8"/>
  <c r="BJ20" i="3" s="1"/>
  <c r="BA23" i="8"/>
  <c r="AV20" i="3" s="1"/>
  <c r="BE23" i="8"/>
  <c r="AZ20" i="3" s="1"/>
  <c r="BC23" i="8"/>
  <c r="AX20" i="3" s="1"/>
  <c r="BJ13" i="8"/>
  <c r="BJ11" i="8"/>
  <c r="BQ13" i="3"/>
  <c r="BQ14" i="3" s="1"/>
  <c r="AO24" i="3"/>
  <c r="BJ12" i="8"/>
  <c r="BH23" i="8"/>
  <c r="BC20" i="3" s="1"/>
  <c r="AW23" i="8"/>
  <c r="BN13" i="3"/>
  <c r="BN14" i="3" s="1"/>
  <c r="AZ13" i="3"/>
  <c r="AZ14" i="3" s="1"/>
  <c r="BA24" i="3"/>
  <c r="I13" i="4"/>
  <c r="F113" i="1" s="1"/>
  <c r="BW132" i="7"/>
  <c r="BQ8" i="3" s="1"/>
  <c r="BK122" i="7"/>
  <c r="AR14" i="3"/>
  <c r="AL28" i="2"/>
  <c r="AY24" i="3"/>
  <c r="BD14" i="3"/>
  <c r="BQ121" i="7"/>
  <c r="BQ128" i="7" s="1"/>
  <c r="BS121" i="7"/>
  <c r="BS128" i="7" s="1"/>
  <c r="BV121" i="7"/>
  <c r="BV128" i="7" s="1"/>
  <c r="AT14" i="3"/>
  <c r="AW60" i="3"/>
  <c r="BB14" i="3"/>
  <c r="BO122" i="7"/>
  <c r="BO129" i="7" s="1"/>
  <c r="BW13" i="8"/>
  <c r="BO124" i="7"/>
  <c r="BO131" i="7" s="1"/>
  <c r="BQ123" i="7"/>
  <c r="BQ130" i="7" s="1"/>
  <c r="BE10" i="3"/>
  <c r="BO123" i="7"/>
  <c r="BO130" i="7" s="1"/>
  <c r="AW24" i="3"/>
  <c r="AP24" i="3"/>
  <c r="AY60" i="3"/>
  <c r="AY9" i="2"/>
  <c r="AR13" i="3"/>
  <c r="AU60" i="3"/>
  <c r="AU9" i="2"/>
  <c r="BC14" i="3"/>
  <c r="BS122" i="7"/>
  <c r="BS129" i="7" s="1"/>
  <c r="BO121" i="7"/>
  <c r="BO128" i="7" s="1"/>
  <c r="BE15" i="3"/>
  <c r="BB60" i="3"/>
  <c r="BB9" i="2"/>
  <c r="BK124" i="7"/>
  <c r="BK123" i="7"/>
  <c r="BK121" i="7"/>
  <c r="BQ122" i="7"/>
  <c r="BQ129" i="7" s="1"/>
  <c r="BM124" i="7"/>
  <c r="BV123" i="7"/>
  <c r="BV130" i="7" s="1"/>
  <c r="BE9" i="3"/>
  <c r="AM132" i="7"/>
  <c r="AG8" i="3" s="1"/>
  <c r="AX131" i="7"/>
  <c r="AT24" i="3"/>
  <c r="BC24" i="3"/>
  <c r="Y44" i="3"/>
  <c r="Y28" i="2"/>
  <c r="AO16" i="3"/>
  <c r="AO28" i="2" s="1"/>
  <c r="S27" i="3"/>
  <c r="AU16" i="3"/>
  <c r="AU44" i="3" s="1"/>
  <c r="AR21" i="3"/>
  <c r="AR31" i="3" s="1"/>
  <c r="AY16" i="3"/>
  <c r="AY44" i="3" s="1"/>
  <c r="V27" i="3"/>
  <c r="L51" i="1"/>
  <c r="T16" i="3"/>
  <c r="T44" i="3" s="1"/>
  <c r="T64" i="3" s="1"/>
  <c r="Z16" i="3"/>
  <c r="AE24" i="3"/>
  <c r="V16" i="3"/>
  <c r="BB24" i="3"/>
  <c r="I52" i="1"/>
  <c r="N52" i="11"/>
  <c r="M51" i="11"/>
  <c r="M57" i="11"/>
  <c r="N58" i="11"/>
  <c r="AR25" i="3"/>
  <c r="F11" i="2"/>
  <c r="BX112" i="7"/>
  <c r="BW28" i="8"/>
  <c r="BX28" i="8" s="1"/>
  <c r="BX57" i="7"/>
  <c r="BS90" i="6"/>
  <c r="AH64" i="3"/>
  <c r="BX54" i="7"/>
  <c r="BX109" i="7"/>
  <c r="S44" i="3"/>
  <c r="BX70" i="7"/>
  <c r="BX78" i="7"/>
  <c r="AC11" i="2"/>
  <c r="AC44" i="3"/>
  <c r="AC28" i="2"/>
  <c r="R121" i="1"/>
  <c r="AW10" i="4"/>
  <c r="AV70" i="3"/>
  <c r="AQ10" i="4"/>
  <c r="AP70" i="3"/>
  <c r="Y10" i="4"/>
  <c r="X70" i="3"/>
  <c r="BJ10" i="4"/>
  <c r="BI70" i="3"/>
  <c r="BD10" i="4"/>
  <c r="BC70" i="3"/>
  <c r="AZ10" i="4"/>
  <c r="AY70" i="3"/>
  <c r="AJ10" i="4"/>
  <c r="AI70" i="3"/>
  <c r="AD10" i="4"/>
  <c r="AC70" i="3"/>
  <c r="AP10" i="4"/>
  <c r="AO70" i="3"/>
  <c r="AE10" i="4"/>
  <c r="AD70" i="3"/>
  <c r="Z10" i="4"/>
  <c r="Y70" i="3"/>
  <c r="AL10" i="4"/>
  <c r="AK70" i="3"/>
  <c r="AR10" i="4"/>
  <c r="AQ70" i="3"/>
  <c r="AM10" i="4"/>
  <c r="AL70" i="3"/>
  <c r="BL10" i="4"/>
  <c r="BK70" i="3"/>
  <c r="AY10" i="4"/>
  <c r="AX70" i="3"/>
  <c r="AN10" i="4"/>
  <c r="AM70" i="3"/>
  <c r="AI10" i="4"/>
  <c r="AH70" i="3"/>
  <c r="BC10" i="4"/>
  <c r="BB70" i="3"/>
  <c r="BK10" i="4"/>
  <c r="BJ70" i="3"/>
  <c r="AA10" i="4"/>
  <c r="Z70" i="3"/>
  <c r="AC10" i="4"/>
  <c r="AB70" i="3"/>
  <c r="U10" i="4"/>
  <c r="T70" i="3"/>
  <c r="AX10" i="4"/>
  <c r="AW70" i="3"/>
  <c r="V10" i="4"/>
  <c r="U70" i="3"/>
  <c r="AH10" i="4"/>
  <c r="AG70" i="3"/>
  <c r="W10" i="4"/>
  <c r="V70" i="3"/>
  <c r="BP10" i="4"/>
  <c r="BO70" i="3"/>
  <c r="BR10" i="4"/>
  <c r="BQ70" i="3"/>
  <c r="BM10" i="4"/>
  <c r="BL70" i="3"/>
  <c r="AK10" i="4"/>
  <c r="AJ70" i="3"/>
  <c r="BN10" i="4"/>
  <c r="BM70" i="3"/>
  <c r="BI10" i="4"/>
  <c r="BH70" i="3"/>
  <c r="AO10" i="4"/>
  <c r="AN70" i="3"/>
  <c r="AB10" i="4"/>
  <c r="AA70" i="3"/>
  <c r="BO10" i="4"/>
  <c r="BN70" i="3"/>
  <c r="BB10" i="4"/>
  <c r="BA70" i="3"/>
  <c r="BQ10" i="4"/>
  <c r="BP70" i="3"/>
  <c r="BA10" i="4"/>
  <c r="AZ70" i="3"/>
  <c r="AV10" i="4"/>
  <c r="AU70" i="3"/>
  <c r="BH10" i="4"/>
  <c r="BG70" i="3"/>
  <c r="BE10" i="4"/>
  <c r="BD70" i="3"/>
  <c r="X10" i="4"/>
  <c r="W70" i="3"/>
  <c r="AU10" i="4"/>
  <c r="AT70" i="3"/>
  <c r="BQ81" i="7"/>
  <c r="BK10" i="3" s="1"/>
  <c r="BJ27" i="8"/>
  <c r="BX58" i="7"/>
  <c r="BU81" i="7"/>
  <c r="BO10" i="3" s="1"/>
  <c r="BO13" i="3" s="1"/>
  <c r="BW35" i="8"/>
  <c r="BX35" i="8" s="1"/>
  <c r="BX53" i="7"/>
  <c r="BV117" i="7"/>
  <c r="BP15" i="3" s="1"/>
  <c r="BS65" i="7"/>
  <c r="BM9" i="3" s="1"/>
  <c r="BX59" i="7"/>
  <c r="P10" i="4"/>
  <c r="O70" i="3"/>
  <c r="AU53" i="3"/>
  <c r="BM53" i="3"/>
  <c r="BK54" i="3"/>
  <c r="BK49" i="3"/>
  <c r="BX113" i="7"/>
  <c r="BW36" i="8"/>
  <c r="BX36" i="8" s="1"/>
  <c r="BX89" i="7"/>
  <c r="BX110" i="7"/>
  <c r="BX87" i="7"/>
  <c r="BO65" i="7"/>
  <c r="BI9" i="3" s="1"/>
  <c r="BI13" i="3" s="1"/>
  <c r="BC53" i="3"/>
  <c r="AR20" i="3"/>
  <c r="AR30" i="3" s="1"/>
  <c r="BG53" i="3"/>
  <c r="BG54" i="3"/>
  <c r="BG49" i="3"/>
  <c r="BK81" i="7"/>
  <c r="BX107" i="7"/>
  <c r="BL81" i="7"/>
  <c r="BF10" i="3" s="1"/>
  <c r="BX68" i="7"/>
  <c r="BX94" i="7"/>
  <c r="BW17" i="8"/>
  <c r="BX95" i="7"/>
  <c r="BW18" i="8"/>
  <c r="AW49" i="3"/>
  <c r="AW54" i="3"/>
  <c r="BK65" i="7"/>
  <c r="BW19" i="8"/>
  <c r="Q10" i="4"/>
  <c r="P70" i="3"/>
  <c r="R10" i="4"/>
  <c r="Q70" i="3"/>
  <c r="M10" i="4"/>
  <c r="L70" i="3"/>
  <c r="L10" i="4"/>
  <c r="K70" i="3"/>
  <c r="BX90" i="7"/>
  <c r="AU49" i="3"/>
  <c r="AU54" i="3"/>
  <c r="BM54" i="3"/>
  <c r="BM49" i="3"/>
  <c r="BX96" i="7"/>
  <c r="BO117" i="7"/>
  <c r="BI15" i="3" s="1"/>
  <c r="BX106" i="7"/>
  <c r="BW29" i="8"/>
  <c r="BX29" i="8" s="1"/>
  <c r="BX88" i="7"/>
  <c r="BX56" i="7"/>
  <c r="BX93" i="7"/>
  <c r="BX105" i="7"/>
  <c r="BL117" i="7"/>
  <c r="BF15" i="3" s="1"/>
  <c r="BX103" i="7"/>
  <c r="BS117" i="7"/>
  <c r="BM15" i="3" s="1"/>
  <c r="BQ117" i="7"/>
  <c r="BK15" i="3" s="1"/>
  <c r="BJ26" i="8"/>
  <c r="BX72" i="7"/>
  <c r="BM117" i="7"/>
  <c r="BG15" i="3" s="1"/>
  <c r="BX76" i="7"/>
  <c r="BX91" i="7"/>
  <c r="BW14" i="8"/>
  <c r="BI54" i="3"/>
  <c r="BI53" i="3"/>
  <c r="BV65" i="7"/>
  <c r="BP9" i="3" s="1"/>
  <c r="BP13" i="3" s="1"/>
  <c r="AX23" i="8"/>
  <c r="AS20" i="3" s="1"/>
  <c r="BP49" i="3"/>
  <c r="BP54" i="3"/>
  <c r="BP53" i="3"/>
  <c r="BX108" i="7"/>
  <c r="BW31" i="8"/>
  <c r="BX31" i="8" s="1"/>
  <c r="BU117" i="7"/>
  <c r="BO15" i="3" s="1"/>
  <c r="BX92" i="7"/>
  <c r="BW15" i="8"/>
  <c r="H10" i="4"/>
  <c r="G70" i="3"/>
  <c r="J10" i="4"/>
  <c r="I70" i="3"/>
  <c r="BB53" i="3"/>
  <c r="BB54" i="3"/>
  <c r="BB49" i="3"/>
  <c r="AY54" i="3"/>
  <c r="AY49" i="3"/>
  <c r="BX114" i="7"/>
  <c r="BW37" i="8"/>
  <c r="BX37" i="8" s="1"/>
  <c r="BQ65" i="7"/>
  <c r="BK9" i="3" s="1"/>
  <c r="N10" i="4"/>
  <c r="M70" i="3"/>
  <c r="I10" i="4"/>
  <c r="H70" i="3"/>
  <c r="K10" i="4"/>
  <c r="J70" i="3"/>
  <c r="O10" i="4"/>
  <c r="N70" i="3"/>
  <c r="BW33" i="8"/>
  <c r="BX33" i="8" s="1"/>
  <c r="BX111" i="7"/>
  <c r="BW34" i="8"/>
  <c r="BX34" i="8" s="1"/>
  <c r="BL65" i="7"/>
  <c r="BF9" i="3" s="1"/>
  <c r="BX55" i="7"/>
  <c r="BN53" i="3"/>
  <c r="BN54" i="3"/>
  <c r="BN49" i="3"/>
  <c r="BW30" i="8"/>
  <c r="BX30" i="8" s="1"/>
  <c r="AS53" i="3"/>
  <c r="AS54" i="3"/>
  <c r="AO49" i="3"/>
  <c r="BX60" i="7"/>
  <c r="BK117" i="7"/>
  <c r="BX61" i="7"/>
  <c r="BM65" i="7"/>
  <c r="BG9" i="3" s="1"/>
  <c r="AT13" i="11"/>
  <c r="AT23" i="11"/>
  <c r="AT31" i="11" s="1"/>
  <c r="R21" i="3"/>
  <c r="U64" i="3"/>
  <c r="S53" i="3"/>
  <c r="S49" i="3"/>
  <c r="S54" i="3"/>
  <c r="BX52" i="7"/>
  <c r="BY13" i="14"/>
  <c r="BX13" i="14" s="1"/>
  <c r="T25" i="11"/>
  <c r="T15" i="11"/>
  <c r="AG82" i="6"/>
  <c r="AH78" i="6" s="1"/>
  <c r="AH82" i="6" s="1"/>
  <c r="AI78" i="6" s="1"/>
  <c r="AI82" i="6" s="1"/>
  <c r="AJ78" i="6" s="1"/>
  <c r="AJ82" i="6" s="1"/>
  <c r="AK78" i="6" s="1"/>
  <c r="AK82" i="6" s="1"/>
  <c r="AL78" i="6" s="1"/>
  <c r="AL82" i="6" s="1"/>
  <c r="AM78" i="6" s="1"/>
  <c r="AM82" i="6" s="1"/>
  <c r="AN78" i="6" s="1"/>
  <c r="AN82" i="6" s="1"/>
  <c r="AO78" i="6" s="1"/>
  <c r="AO82" i="6" s="1"/>
  <c r="AP78" i="6" s="1"/>
  <c r="AP82" i="6" s="1"/>
  <c r="AQ78" i="6" s="1"/>
  <c r="AQ82" i="6" s="1"/>
  <c r="AR78" i="6" s="1"/>
  <c r="AR82" i="6" s="1"/>
  <c r="AT78" i="6" s="1"/>
  <c r="AS78" i="6"/>
  <c r="AS82" i="6" s="1"/>
  <c r="R69" i="3"/>
  <c r="G10" i="4"/>
  <c r="AE42" i="11"/>
  <c r="AD41" i="11"/>
  <c r="N13" i="11"/>
  <c r="X22" i="7"/>
  <c r="BY22" i="7" s="1"/>
  <c r="L59" i="7"/>
  <c r="S55" i="16"/>
  <c r="L16" i="16"/>
  <c r="N16" i="16" s="1"/>
  <c r="Z7" i="11"/>
  <c r="G85" i="16"/>
  <c r="H85" i="16" s="1"/>
  <c r="M44" i="16"/>
  <c r="N44" i="16"/>
  <c r="AB26" i="11"/>
  <c r="AA25" i="11"/>
  <c r="AA31" i="11" s="1"/>
  <c r="Y25" i="3" s="1"/>
  <c r="AG10" i="4"/>
  <c r="AR69" i="3"/>
  <c r="L69" i="1" s="1"/>
  <c r="T10" i="4"/>
  <c r="AE69" i="3"/>
  <c r="I69" i="1" s="1"/>
  <c r="S71" i="16"/>
  <c r="L32" i="16"/>
  <c r="N32" i="16" s="1"/>
  <c r="N72" i="16"/>
  <c r="G113" i="16"/>
  <c r="H113" i="16" s="1"/>
  <c r="M72" i="16"/>
  <c r="CI11" i="14"/>
  <c r="CH10" i="14"/>
  <c r="BG10" i="4"/>
  <c r="BR69" i="3"/>
  <c r="R69" i="1" s="1"/>
  <c r="AT10" i="4"/>
  <c r="BE69" i="3"/>
  <c r="O69" i="1" s="1"/>
  <c r="S48" i="16"/>
  <c r="L9" i="16"/>
  <c r="N9" i="16" s="1"/>
  <c r="N8" i="11"/>
  <c r="M7" i="11"/>
  <c r="M17" i="11" s="1"/>
  <c r="S72" i="16"/>
  <c r="L33" i="16"/>
  <c r="N33" i="16" s="1"/>
  <c r="U78" i="16"/>
  <c r="J79" i="16"/>
  <c r="U79" i="16" s="1"/>
  <c r="AD14" i="11"/>
  <c r="AC13" i="11"/>
  <c r="BG41" i="11"/>
  <c r="G89" i="16"/>
  <c r="H89" i="16" s="1"/>
  <c r="M48" i="16"/>
  <c r="N48" i="16"/>
  <c r="M59" i="7"/>
  <c r="O24" i="11"/>
  <c r="N23" i="11"/>
  <c r="N31" i="11" s="1"/>
  <c r="L25" i="3" s="1"/>
  <c r="G96" i="16"/>
  <c r="H96" i="16" s="1"/>
  <c r="N55" i="16"/>
  <c r="M55" i="16"/>
  <c r="S73" i="16"/>
  <c r="L34" i="16"/>
  <c r="N34" i="16" s="1"/>
  <c r="H55" i="6"/>
  <c r="S63" i="16"/>
  <c r="L24" i="16"/>
  <c r="N24" i="16" s="1"/>
  <c r="S47" i="16"/>
  <c r="L8" i="16"/>
  <c r="N8" i="16" s="1"/>
  <c r="G112" i="16"/>
  <c r="H112" i="16" s="1"/>
  <c r="N71" i="16"/>
  <c r="M71" i="16"/>
  <c r="G95" i="16"/>
  <c r="H95" i="16" s="1"/>
  <c r="N54" i="16"/>
  <c r="M54" i="16"/>
  <c r="W52" i="6"/>
  <c r="W55" i="6" s="1"/>
  <c r="G109" i="16"/>
  <c r="H109" i="16" s="1"/>
  <c r="N68" i="16"/>
  <c r="M68" i="16"/>
  <c r="G83" i="16"/>
  <c r="H83" i="16" s="1"/>
  <c r="L78" i="16"/>
  <c r="L79" i="16" s="1"/>
  <c r="N42" i="16"/>
  <c r="M42" i="16"/>
  <c r="K29" i="4"/>
  <c r="B121" i="10"/>
  <c r="L29" i="4"/>
  <c r="I83" i="16"/>
  <c r="R42" i="16"/>
  <c r="Q42" i="16"/>
  <c r="Q78" i="16" s="1"/>
  <c r="Q79" i="16" s="1"/>
  <c r="P78" i="16"/>
  <c r="I75" i="6"/>
  <c r="S66" i="16"/>
  <c r="L27" i="16"/>
  <c r="N27" i="16" s="1"/>
  <c r="I12" i="14"/>
  <c r="G34" i="4" s="1"/>
  <c r="F12" i="14"/>
  <c r="BL17" i="11"/>
  <c r="BA8" i="11"/>
  <c r="AZ7" i="11"/>
  <c r="S54" i="16"/>
  <c r="L15" i="16"/>
  <c r="N15" i="16" s="1"/>
  <c r="AQ42" i="11"/>
  <c r="AP41" i="11"/>
  <c r="N66" i="16"/>
  <c r="G107" i="16"/>
  <c r="H107" i="16" s="1"/>
  <c r="M66" i="16"/>
  <c r="G103" i="16"/>
  <c r="H103" i="16" s="1"/>
  <c r="N62" i="16"/>
  <c r="M62" i="16"/>
  <c r="AN8" i="11"/>
  <c r="AM7" i="11"/>
  <c r="BR14" i="11"/>
  <c r="BQ13" i="11"/>
  <c r="G114" i="16"/>
  <c r="H114" i="16" s="1"/>
  <c r="M73" i="16"/>
  <c r="N73" i="16"/>
  <c r="G104" i="16"/>
  <c r="H104" i="16" s="1"/>
  <c r="N63" i="16"/>
  <c r="M63" i="16"/>
  <c r="J39" i="2"/>
  <c r="G88" i="16"/>
  <c r="H88" i="16" s="1"/>
  <c r="N47" i="16"/>
  <c r="M47" i="16"/>
  <c r="G99" i="16"/>
  <c r="H99" i="16" s="1"/>
  <c r="N58" i="16"/>
  <c r="M58" i="16"/>
  <c r="P2" i="16" a="1"/>
  <c r="AR63" i="3"/>
  <c r="AQ53" i="3"/>
  <c r="AR53" i="3" s="1"/>
  <c r="L77" i="1" s="1"/>
  <c r="AR47" i="3"/>
  <c r="L71" i="1" s="1"/>
  <c r="AR59" i="3"/>
  <c r="L83" i="1" s="1"/>
  <c r="AR43" i="3"/>
  <c r="L67" i="1" s="1"/>
  <c r="AQ49" i="3"/>
  <c r="AR61" i="3"/>
  <c r="L85" i="1" s="1"/>
  <c r="BB24" i="11"/>
  <c r="BA23" i="11"/>
  <c r="S44" i="16"/>
  <c r="L5" i="16"/>
  <c r="N5" i="16" s="1"/>
  <c r="Q29" i="11"/>
  <c r="O39" i="1"/>
  <c r="BF40" i="2"/>
  <c r="BG40" i="2" s="1"/>
  <c r="BH40" i="2" s="1"/>
  <c r="BI40" i="2" s="1"/>
  <c r="BJ40" i="2" s="1"/>
  <c r="BK40" i="2" s="1"/>
  <c r="BL40" i="2" s="1"/>
  <c r="BM40" i="2" s="1"/>
  <c r="BN40" i="2" s="1"/>
  <c r="BO40" i="2" s="1"/>
  <c r="BP40" i="2" s="1"/>
  <c r="BQ40" i="2" s="1"/>
  <c r="R39" i="1" s="1"/>
  <c r="S62" i="16"/>
  <c r="L23" i="16"/>
  <c r="N23" i="16" s="1"/>
  <c r="Z31" i="11"/>
  <c r="X25" i="3" s="1"/>
  <c r="AD24" i="11"/>
  <c r="AC23" i="11"/>
  <c r="BN8" i="11"/>
  <c r="BM7" i="11"/>
  <c r="BB14" i="11"/>
  <c r="BA13" i="11"/>
  <c r="S68" i="16"/>
  <c r="L29" i="16"/>
  <c r="N29" i="16" s="1"/>
  <c r="S58" i="16"/>
  <c r="L19" i="16"/>
  <c r="N19" i="16" s="1"/>
  <c r="L17" i="11"/>
  <c r="AB16" i="11"/>
  <c r="AA15" i="11"/>
  <c r="P11" i="14"/>
  <c r="O10" i="14"/>
  <c r="AG37" i="11"/>
  <c r="BA12" i="11" l="1"/>
  <c r="AZ19" i="11"/>
  <c r="AZ11" i="11"/>
  <c r="AN12" i="11"/>
  <c r="AM19" i="11"/>
  <c r="AM11" i="11"/>
  <c r="AA12" i="11"/>
  <c r="Z19" i="11"/>
  <c r="Z11" i="11"/>
  <c r="BN10" i="11"/>
  <c r="BM19" i="11"/>
  <c r="BM9" i="11"/>
  <c r="BN24" i="11"/>
  <c r="BM33" i="11"/>
  <c r="BM23" i="11"/>
  <c r="BM31" i="11" s="1"/>
  <c r="BK25" i="3" s="1"/>
  <c r="AW26" i="3"/>
  <c r="AL63" i="11"/>
  <c r="AE54" i="11"/>
  <c r="AD53" i="11"/>
  <c r="N50" i="11"/>
  <c r="M61" i="11"/>
  <c r="M49" i="11"/>
  <c r="M59" i="11" s="1"/>
  <c r="BM61" i="11"/>
  <c r="BN50" i="11"/>
  <c r="BM49" i="11"/>
  <c r="BM59" i="11" s="1"/>
  <c r="J26" i="3"/>
  <c r="Z61" i="11"/>
  <c r="Z49" i="11"/>
  <c r="Z59" i="11" s="1"/>
  <c r="AA50" i="11"/>
  <c r="AN50" i="11"/>
  <c r="AM61" i="11"/>
  <c r="AM49" i="11"/>
  <c r="AM59" i="11" s="1"/>
  <c r="BM66" i="11"/>
  <c r="AZ61" i="11"/>
  <c r="BA50" i="11"/>
  <c r="BA66" i="11" s="1"/>
  <c r="AZ49" i="11"/>
  <c r="N40" i="11"/>
  <c r="M47" i="11"/>
  <c r="M39" i="11"/>
  <c r="BA36" i="11"/>
  <c r="AZ47" i="11"/>
  <c r="AZ35" i="11"/>
  <c r="AI26" i="3"/>
  <c r="AI27" i="3" s="1"/>
  <c r="AI36" i="3" s="1"/>
  <c r="AK63" i="11"/>
  <c r="K63" i="11"/>
  <c r="I26" i="3"/>
  <c r="AN36" i="11"/>
  <c r="AM47" i="11"/>
  <c r="AM35" i="11"/>
  <c r="AA36" i="11"/>
  <c r="Z47" i="11"/>
  <c r="Z35" i="11"/>
  <c r="Z45" i="11" s="1"/>
  <c r="AM66" i="11"/>
  <c r="Y45" i="11"/>
  <c r="W26" i="3" s="1"/>
  <c r="W27" i="3" s="1"/>
  <c r="W36" i="3" s="1"/>
  <c r="W37" i="3" s="1"/>
  <c r="BI26" i="3"/>
  <c r="BK63" i="11"/>
  <c r="Z66" i="11"/>
  <c r="AV26" i="3"/>
  <c r="AX63" i="11"/>
  <c r="BN36" i="11"/>
  <c r="BM47" i="11"/>
  <c r="BM35" i="11"/>
  <c r="BM45" i="11" s="1"/>
  <c r="BK26" i="3" s="1"/>
  <c r="S35" i="11"/>
  <c r="O54" i="11"/>
  <c r="N53" i="11"/>
  <c r="T13" i="4"/>
  <c r="AI9" i="2"/>
  <c r="AK13" i="4" s="1"/>
  <c r="AF16" i="3"/>
  <c r="AF44" i="3" s="1"/>
  <c r="AM60" i="3"/>
  <c r="AF9" i="2"/>
  <c r="AG13" i="4" s="1"/>
  <c r="BS44" i="8"/>
  <c r="BS48" i="8" s="1"/>
  <c r="BN19" i="3" s="1"/>
  <c r="AG27" i="3"/>
  <c r="AU27" i="3"/>
  <c r="AW16" i="3"/>
  <c r="AW44" i="3" s="1"/>
  <c r="BJ47" i="8"/>
  <c r="AX48" i="8"/>
  <c r="AS19" i="3" s="1"/>
  <c r="BF13" i="3"/>
  <c r="BF48" i="8"/>
  <c r="BA19" i="3" s="1"/>
  <c r="BT48" i="8"/>
  <c r="BO19" i="3" s="1"/>
  <c r="BK13" i="3"/>
  <c r="BK14" i="3" s="1"/>
  <c r="BA16" i="3"/>
  <c r="BA44" i="3" s="1"/>
  <c r="AY132" i="7"/>
  <c r="AS8" i="3" s="1"/>
  <c r="AS60" i="3" s="1"/>
  <c r="BA9" i="2"/>
  <c r="BC13" i="4" s="1"/>
  <c r="BD60" i="3"/>
  <c r="BL47" i="8"/>
  <c r="BL48" i="8" s="1"/>
  <c r="BG19" i="3" s="1"/>
  <c r="BM131" i="7"/>
  <c r="AX11" i="2"/>
  <c r="BK45" i="8"/>
  <c r="BL129" i="7"/>
  <c r="BK46" i="8"/>
  <c r="BL130" i="7"/>
  <c r="BK44" i="8"/>
  <c r="BL128" i="7"/>
  <c r="BX128" i="7" s="1"/>
  <c r="BD16" i="3"/>
  <c r="BD44" i="3" s="1"/>
  <c r="AP9" i="2"/>
  <c r="AK16" i="3"/>
  <c r="AK44" i="3" s="1"/>
  <c r="AM13" i="4"/>
  <c r="AP16" i="3"/>
  <c r="AP44" i="3" s="1"/>
  <c r="AK60" i="3"/>
  <c r="AO13" i="4"/>
  <c r="AX132" i="7"/>
  <c r="AX24" i="3"/>
  <c r="BL14" i="3"/>
  <c r="BH14" i="3"/>
  <c r="BC9" i="2"/>
  <c r="BD13" i="4" s="1"/>
  <c r="BC60" i="3"/>
  <c r="AM16" i="3"/>
  <c r="AM44" i="3" s="1"/>
  <c r="AI60" i="3"/>
  <c r="AI64" i="3" s="1"/>
  <c r="BB132" i="7"/>
  <c r="AV8" i="3" s="1"/>
  <c r="AV16" i="3" s="1"/>
  <c r="AV28" i="2" s="1"/>
  <c r="BP132" i="7"/>
  <c r="BJ8" i="3" s="1"/>
  <c r="BJ16" i="3" s="1"/>
  <c r="BJ44" i="3" s="1"/>
  <c r="AV24" i="3"/>
  <c r="AR8" i="3"/>
  <c r="L50" i="1" s="1"/>
  <c r="AW48" i="8"/>
  <c r="AT11" i="2"/>
  <c r="BJ45" i="8"/>
  <c r="BJ46" i="8"/>
  <c r="BT132" i="7"/>
  <c r="BN8" i="3" s="1"/>
  <c r="BN60" i="3" s="1"/>
  <c r="BU132" i="7"/>
  <c r="BO8" i="3" s="1"/>
  <c r="BO9" i="2" s="1"/>
  <c r="BN44" i="8"/>
  <c r="BN46" i="8"/>
  <c r="BP44" i="8"/>
  <c r="BV48" i="8"/>
  <c r="BQ19" i="3" s="1"/>
  <c r="BQ29" i="3" s="1"/>
  <c r="BQ48" i="8"/>
  <c r="BL19" i="3" s="1"/>
  <c r="BJ44" i="8"/>
  <c r="BJ24" i="3"/>
  <c r="BU46" i="8"/>
  <c r="BD132" i="7"/>
  <c r="AX8" i="3" s="1"/>
  <c r="AX16" i="3" s="1"/>
  <c r="AX44" i="3" s="1"/>
  <c r="BP46" i="8"/>
  <c r="BN45" i="8"/>
  <c r="BU44" i="8"/>
  <c r="BU48" i="8" s="1"/>
  <c r="BP19" i="3" s="1"/>
  <c r="BO48" i="8"/>
  <c r="BJ19" i="3" s="1"/>
  <c r="BH48" i="8"/>
  <c r="BC19" i="3" s="1"/>
  <c r="BA48" i="8"/>
  <c r="AV19" i="3" s="1"/>
  <c r="BE48" i="8"/>
  <c r="AZ19" i="3" s="1"/>
  <c r="BM48" i="8"/>
  <c r="BH19" i="3" s="1"/>
  <c r="BC48" i="8"/>
  <c r="AX19" i="3" s="1"/>
  <c r="BW16" i="8"/>
  <c r="I58" i="1"/>
  <c r="AE34" i="3"/>
  <c r="BQ132" i="7"/>
  <c r="BK8" i="3" s="1"/>
  <c r="BP45" i="8"/>
  <c r="BR45" i="8"/>
  <c r="BO132" i="7"/>
  <c r="BI8" i="3" s="1"/>
  <c r="BI9" i="2" s="1"/>
  <c r="BN47" i="8"/>
  <c r="BR44" i="8"/>
  <c r="AI28" i="2"/>
  <c r="AJ28" i="2" s="1"/>
  <c r="AK20" i="4" s="1"/>
  <c r="AZ16" i="3"/>
  <c r="AZ44" i="3" s="1"/>
  <c r="BG13" i="3"/>
  <c r="BG24" i="3" s="1"/>
  <c r="AS11" i="2"/>
  <c r="AG16" i="3"/>
  <c r="AG44" i="3" s="1"/>
  <c r="AV11" i="2"/>
  <c r="BN32" i="8"/>
  <c r="BN39" i="8" s="1"/>
  <c r="BI21" i="3" s="1"/>
  <c r="BR32" i="8"/>
  <c r="BR39" i="8" s="1"/>
  <c r="BM21" i="3" s="1"/>
  <c r="BV32" i="8"/>
  <c r="BV39" i="8" s="1"/>
  <c r="BQ21" i="3" s="1"/>
  <c r="BK32" i="8"/>
  <c r="BO32" i="8"/>
  <c r="BO39" i="8" s="1"/>
  <c r="BJ21" i="3" s="1"/>
  <c r="BH11" i="2" s="1"/>
  <c r="BS32" i="8"/>
  <c r="BS39" i="8" s="1"/>
  <c r="BN21" i="3" s="1"/>
  <c r="BL11" i="2" s="1"/>
  <c r="BP32" i="8"/>
  <c r="BP39" i="8" s="1"/>
  <c r="BK21" i="3" s="1"/>
  <c r="BQ32" i="8"/>
  <c r="BQ39" i="8" s="1"/>
  <c r="BL21" i="3" s="1"/>
  <c r="BT32" i="8"/>
  <c r="BT39" i="8" s="1"/>
  <c r="BO21" i="3" s="1"/>
  <c r="BM11" i="2" s="1"/>
  <c r="BU32" i="8"/>
  <c r="BU39" i="8" s="1"/>
  <c r="BP21" i="3" s="1"/>
  <c r="BL32" i="8"/>
  <c r="BL39" i="8" s="1"/>
  <c r="BG21" i="3" s="1"/>
  <c r="BD11" i="2" s="1"/>
  <c r="BM32" i="8"/>
  <c r="BM39" i="8" s="1"/>
  <c r="BH21" i="3" s="1"/>
  <c r="BJ32" i="8"/>
  <c r="BJ39" i="8" s="1"/>
  <c r="BA11" i="2"/>
  <c r="AT27" i="3"/>
  <c r="BP23" i="8"/>
  <c r="BK20" i="3" s="1"/>
  <c r="BW11" i="8"/>
  <c r="BR23" i="8"/>
  <c r="BM20" i="3" s="1"/>
  <c r="BN23" i="8"/>
  <c r="BI20" i="3" s="1"/>
  <c r="BU23" i="8"/>
  <c r="BP20" i="3" s="1"/>
  <c r="BW12" i="8"/>
  <c r="AZ24" i="3"/>
  <c r="BE13" i="3"/>
  <c r="O52" i="1" s="1"/>
  <c r="BM13" i="3"/>
  <c r="BM14" i="3" s="1"/>
  <c r="BN24" i="3"/>
  <c r="BQ16" i="3"/>
  <c r="BQ44" i="3" s="1"/>
  <c r="BQ9" i="2"/>
  <c r="R8" i="1" s="1"/>
  <c r="BQ60" i="3"/>
  <c r="BC16" i="3"/>
  <c r="BC44" i="3" s="1"/>
  <c r="AJ13" i="4"/>
  <c r="BX123" i="7"/>
  <c r="BX121" i="7"/>
  <c r="I113" i="1"/>
  <c r="BR10" i="3"/>
  <c r="BQ24" i="3"/>
  <c r="BQ34" i="3" s="1"/>
  <c r="AN13" i="4"/>
  <c r="BO14" i="3"/>
  <c r="BX122" i="7"/>
  <c r="BH60" i="3"/>
  <c r="BH9" i="2"/>
  <c r="BP14" i="3"/>
  <c r="BR15" i="3"/>
  <c r="AS14" i="3"/>
  <c r="BE14" i="3" s="1"/>
  <c r="BX124" i="7"/>
  <c r="AZ60" i="3"/>
  <c r="AZ9" i="2"/>
  <c r="O8" i="1"/>
  <c r="BS132" i="7"/>
  <c r="BM8" i="3" s="1"/>
  <c r="BR9" i="3"/>
  <c r="BI14" i="3"/>
  <c r="AG60" i="3"/>
  <c r="AG9" i="2"/>
  <c r="AI13" i="4" s="1"/>
  <c r="AZ132" i="7"/>
  <c r="AT8" i="3" s="1"/>
  <c r="AT16" i="3" s="1"/>
  <c r="AT44" i="3" s="1"/>
  <c r="BK131" i="7"/>
  <c r="BK132" i="7" s="1"/>
  <c r="BL60" i="3"/>
  <c r="BL9" i="2"/>
  <c r="BP24" i="3"/>
  <c r="AO44" i="3"/>
  <c r="AQ54" i="3"/>
  <c r="AR54" i="3" s="1"/>
  <c r="L78" i="1" s="1"/>
  <c r="AE16" i="3"/>
  <c r="E9" i="12" s="1"/>
  <c r="BH16" i="3"/>
  <c r="BH44" i="3" s="1"/>
  <c r="BL16" i="3"/>
  <c r="BL44" i="3" s="1"/>
  <c r="T36" i="3"/>
  <c r="T37" i="3" s="1"/>
  <c r="AY28" i="2"/>
  <c r="T28" i="2"/>
  <c r="U28" i="2" s="1"/>
  <c r="BL54" i="3"/>
  <c r="BB16" i="3"/>
  <c r="V28" i="2"/>
  <c r="W28" i="2" s="1"/>
  <c r="V44" i="3"/>
  <c r="V64" i="3" s="1"/>
  <c r="AF24" i="3"/>
  <c r="Z44" i="3"/>
  <c r="Z28" i="2"/>
  <c r="O52" i="11"/>
  <c r="N51" i="11"/>
  <c r="O58" i="11"/>
  <c r="N57" i="11"/>
  <c r="K40" i="3"/>
  <c r="W40" i="3"/>
  <c r="AY63" i="11"/>
  <c r="AW40" i="3"/>
  <c r="BL63" i="11"/>
  <c r="BJ40" i="3"/>
  <c r="L63" i="11"/>
  <c r="J40" i="3"/>
  <c r="BL53" i="3"/>
  <c r="BW27" i="8"/>
  <c r="BX27" i="8" s="1"/>
  <c r="AF28" i="2"/>
  <c r="AP11" i="2"/>
  <c r="AY11" i="2"/>
  <c r="AW27" i="3"/>
  <c r="AU11" i="2"/>
  <c r="AZ11" i="2"/>
  <c r="AD28" i="2"/>
  <c r="AD20" i="4"/>
  <c r="BR70" i="3"/>
  <c r="K14" i="12" s="1"/>
  <c r="L110" i="1"/>
  <c r="O110" i="1"/>
  <c r="AR70" i="3"/>
  <c r="G14" i="12" s="1"/>
  <c r="AE70" i="3"/>
  <c r="E14" i="12" s="1"/>
  <c r="R110" i="1"/>
  <c r="I110" i="1"/>
  <c r="AR49" i="3"/>
  <c r="L73" i="1" s="1"/>
  <c r="BE70" i="3"/>
  <c r="I14" i="12" s="1"/>
  <c r="BE21" i="3"/>
  <c r="BE31" i="3" s="1"/>
  <c r="BL49" i="3"/>
  <c r="R70" i="3"/>
  <c r="C14" i="12" s="1"/>
  <c r="AU64" i="3"/>
  <c r="BX117" i="7"/>
  <c r="BI49" i="3"/>
  <c r="AY53" i="3"/>
  <c r="BK23" i="8"/>
  <c r="BF20" i="3" s="1"/>
  <c r="BX65" i="7"/>
  <c r="BX81" i="7"/>
  <c r="BH53" i="3"/>
  <c r="BH54" i="3"/>
  <c r="BH49" i="3"/>
  <c r="BE20" i="3"/>
  <c r="BE30" i="3" s="1"/>
  <c r="BF54" i="3"/>
  <c r="BF53" i="3"/>
  <c r="BF49" i="3"/>
  <c r="AW53" i="3"/>
  <c r="BK53" i="3"/>
  <c r="BJ54" i="3"/>
  <c r="BJ53" i="3"/>
  <c r="BJ49" i="3"/>
  <c r="BO49" i="3"/>
  <c r="BO54" i="3"/>
  <c r="AS49" i="3"/>
  <c r="BW26" i="8"/>
  <c r="S64" i="3"/>
  <c r="AH66" i="3"/>
  <c r="AH37" i="3"/>
  <c r="AE61" i="3"/>
  <c r="I85" i="1" s="1"/>
  <c r="AE47" i="3"/>
  <c r="I71" i="1" s="1"/>
  <c r="AE63" i="3"/>
  <c r="I87" i="1" s="1"/>
  <c r="AE43" i="3"/>
  <c r="I67" i="1" s="1"/>
  <c r="AD54" i="3"/>
  <c r="AE54" i="3" s="1"/>
  <c r="I78" i="1" s="1"/>
  <c r="AE59" i="3"/>
  <c r="I83" i="1" s="1"/>
  <c r="AD53" i="3"/>
  <c r="AE53" i="3" s="1"/>
  <c r="I77" i="1" s="1"/>
  <c r="I51" i="1"/>
  <c r="AD49" i="3"/>
  <c r="AE49" i="3" s="1"/>
  <c r="I73" i="1" s="1"/>
  <c r="BY52" i="7"/>
  <c r="U36" i="3"/>
  <c r="AJ36" i="3"/>
  <c r="V36" i="3"/>
  <c r="BJ10" i="8"/>
  <c r="BJ23" i="8" s="1"/>
  <c r="BW10" i="8"/>
  <c r="AJ10" i="8"/>
  <c r="Q11" i="14"/>
  <c r="P10" i="14"/>
  <c r="AC16" i="11"/>
  <c r="AB15" i="11"/>
  <c r="AM17" i="11"/>
  <c r="AR42" i="11"/>
  <c r="AQ41" i="11"/>
  <c r="J71" i="6"/>
  <c r="J75" i="6" s="1"/>
  <c r="K71" i="6" s="1"/>
  <c r="K75" i="6" s="1"/>
  <c r="L71" i="6" s="1"/>
  <c r="L75" i="6" s="1"/>
  <c r="M71" i="6" s="1"/>
  <c r="M75" i="6" s="1"/>
  <c r="N71" i="6" s="1"/>
  <c r="N75" i="6" s="1"/>
  <c r="O71" i="6" s="1"/>
  <c r="O75" i="6" s="1"/>
  <c r="P71" i="6" s="1"/>
  <c r="P75" i="6" s="1"/>
  <c r="Q71" i="6" s="1"/>
  <c r="Q75" i="6" s="1"/>
  <c r="R71" i="6" s="1"/>
  <c r="R75" i="6" s="1"/>
  <c r="T71" i="6" s="1"/>
  <c r="P79" i="16"/>
  <c r="H4" i="17"/>
  <c r="H7" i="17" s="1"/>
  <c r="L31" i="4"/>
  <c r="K31" i="4"/>
  <c r="CJ11" i="14"/>
  <c r="CI10" i="14"/>
  <c r="F77" i="3"/>
  <c r="O13" i="11"/>
  <c r="BC24" i="11"/>
  <c r="BB23" i="11"/>
  <c r="BB31" i="11" s="1"/>
  <c r="AZ25" i="3" s="1"/>
  <c r="BC14" i="11"/>
  <c r="BB13" i="11"/>
  <c r="S29" i="11"/>
  <c r="R29" i="11"/>
  <c r="W77" i="7"/>
  <c r="S77" i="7"/>
  <c r="O77" i="7"/>
  <c r="V77" i="7"/>
  <c r="R77" i="7"/>
  <c r="N77" i="7"/>
  <c r="Q77" i="7"/>
  <c r="P77" i="7"/>
  <c r="U77" i="7"/>
  <c r="M77" i="7"/>
  <c r="T77" i="7"/>
  <c r="AO8" i="11"/>
  <c r="AN7" i="11"/>
  <c r="B13" i="14"/>
  <c r="E13" i="14"/>
  <c r="B122" i="10"/>
  <c r="M29" i="4"/>
  <c r="M78" i="16"/>
  <c r="M79" i="16" s="1"/>
  <c r="AE14" i="11"/>
  <c r="AD13" i="11"/>
  <c r="AF42" i="11"/>
  <c r="AF41" i="11" s="1"/>
  <c r="AE41" i="11"/>
  <c r="AT82" i="6"/>
  <c r="AU78" i="6" s="1"/>
  <c r="AU82" i="6" s="1"/>
  <c r="AV78" i="6" s="1"/>
  <c r="AV82" i="6" s="1"/>
  <c r="AW78" i="6" s="1"/>
  <c r="AW82" i="6" s="1"/>
  <c r="AX78" i="6" s="1"/>
  <c r="AX82" i="6" s="1"/>
  <c r="AY78" i="6" s="1"/>
  <c r="AY82" i="6" s="1"/>
  <c r="AZ78" i="6" s="1"/>
  <c r="AZ82" i="6" s="1"/>
  <c r="BA78" i="6" s="1"/>
  <c r="BA82" i="6" s="1"/>
  <c r="BB78" i="6" s="1"/>
  <c r="BB82" i="6" s="1"/>
  <c r="BC78" i="6" s="1"/>
  <c r="BC82" i="6" s="1"/>
  <c r="BD78" i="6" s="1"/>
  <c r="BD82" i="6" s="1"/>
  <c r="BE78" i="6" s="1"/>
  <c r="BE82" i="6" s="1"/>
  <c r="BG78" i="6" s="1"/>
  <c r="BF78" i="6"/>
  <c r="BF82" i="6" s="1"/>
  <c r="AE24" i="11"/>
  <c r="AD23" i="11"/>
  <c r="BA31" i="11"/>
  <c r="AY25" i="3" s="1"/>
  <c r="L87" i="1"/>
  <c r="K39" i="2"/>
  <c r="G38" i="4"/>
  <c r="F33" i="2"/>
  <c r="F34" i="2" s="1"/>
  <c r="R78" i="16"/>
  <c r="R79" i="16" s="1"/>
  <c r="Q29" i="17" s="1"/>
  <c r="L3" i="16"/>
  <c r="N3" i="16" s="1"/>
  <c r="S42" i="16"/>
  <c r="S78" i="16" s="1"/>
  <c r="S79" i="16" s="1"/>
  <c r="N78" i="16"/>
  <c r="N79" i="16" s="1"/>
  <c r="Y52" i="6"/>
  <c r="Y55" i="6" s="1"/>
  <c r="I52" i="6"/>
  <c r="BW13" i="14"/>
  <c r="U76" i="7"/>
  <c r="T76" i="7"/>
  <c r="S76" i="7"/>
  <c r="F110" i="1"/>
  <c r="F17" i="2"/>
  <c r="G17" i="2" s="1"/>
  <c r="H17" i="2" s="1"/>
  <c r="I17" i="2" s="1"/>
  <c r="J17" i="2" s="1"/>
  <c r="K17" i="2" s="1"/>
  <c r="BU37" i="11"/>
  <c r="BO8" i="11"/>
  <c r="BN7" i="11"/>
  <c r="P36" i="16"/>
  <c r="P32" i="16"/>
  <c r="P28" i="16"/>
  <c r="P24" i="16"/>
  <c r="P20" i="16"/>
  <c r="P16" i="16"/>
  <c r="P12" i="16"/>
  <c r="P8" i="16"/>
  <c r="P4" i="16"/>
  <c r="P35" i="16"/>
  <c r="P31" i="16"/>
  <c r="P27" i="16"/>
  <c r="P23" i="16"/>
  <c r="P19" i="16"/>
  <c r="P15" i="16"/>
  <c r="P11" i="16"/>
  <c r="P7" i="16"/>
  <c r="P3" i="16"/>
  <c r="P34" i="16"/>
  <c r="P26" i="16"/>
  <c r="P18" i="16"/>
  <c r="P10" i="16"/>
  <c r="P33" i="16"/>
  <c r="P25" i="16"/>
  <c r="P17" i="16"/>
  <c r="P9" i="16"/>
  <c r="P2" i="16"/>
  <c r="P38" i="16"/>
  <c r="P30" i="16"/>
  <c r="P22" i="16"/>
  <c r="P14" i="16"/>
  <c r="P6" i="16"/>
  <c r="P37" i="16"/>
  <c r="P29" i="16"/>
  <c r="P21" i="16"/>
  <c r="P13" i="16"/>
  <c r="P5" i="16"/>
  <c r="BS14" i="11"/>
  <c r="BS13" i="11" s="1"/>
  <c r="BR13" i="11"/>
  <c r="BB8" i="11"/>
  <c r="BA7" i="11"/>
  <c r="O27" i="17"/>
  <c r="P27" i="17" s="1"/>
  <c r="O26" i="17"/>
  <c r="P26" i="17" s="1"/>
  <c r="O25" i="17"/>
  <c r="P25" i="17" s="1"/>
  <c r="O24" i="17"/>
  <c r="P24" i="17" s="1"/>
  <c r="O23" i="17"/>
  <c r="P23" i="17" s="1"/>
  <c r="O22" i="17"/>
  <c r="P22" i="17" s="1"/>
  <c r="O21" i="17"/>
  <c r="N76" i="7"/>
  <c r="M76" i="7"/>
  <c r="P24" i="11"/>
  <c r="O23" i="11"/>
  <c r="O31" i="11" s="1"/>
  <c r="M25" i="3" s="1"/>
  <c r="N66" i="11"/>
  <c r="O8" i="11"/>
  <c r="N7" i="11"/>
  <c r="Q76" i="7"/>
  <c r="P76" i="7"/>
  <c r="O76" i="7"/>
  <c r="AC26" i="11"/>
  <c r="AB25" i="11"/>
  <c r="AA66" i="11"/>
  <c r="AA7" i="11"/>
  <c r="X59" i="7"/>
  <c r="S10" i="4"/>
  <c r="BS69" i="3"/>
  <c r="F69" i="1"/>
  <c r="AN66" i="11" l="1"/>
  <c r="BB12" i="11"/>
  <c r="BA19" i="11"/>
  <c r="BA11" i="11"/>
  <c r="BA17" i="11" s="1"/>
  <c r="AY40" i="3" s="1"/>
  <c r="AZ17" i="11"/>
  <c r="AX40" i="3" s="1"/>
  <c r="AO12" i="11"/>
  <c r="AN19" i="11"/>
  <c r="AN11" i="11"/>
  <c r="AB12" i="11"/>
  <c r="AA19" i="11"/>
  <c r="AA11" i="11"/>
  <c r="AA17" i="11" s="1"/>
  <c r="Z17" i="11"/>
  <c r="BO10" i="11"/>
  <c r="BN19" i="11"/>
  <c r="BN9" i="11"/>
  <c r="BN17" i="11" s="1"/>
  <c r="BL40" i="3" s="1"/>
  <c r="BL64" i="3" s="1"/>
  <c r="BM17" i="11"/>
  <c r="BK40" i="3" s="1"/>
  <c r="BO24" i="11"/>
  <c r="BN33" i="11"/>
  <c r="BN23" i="11"/>
  <c r="BN31" i="11" s="1"/>
  <c r="BL25" i="3" s="1"/>
  <c r="O50" i="11"/>
  <c r="N61" i="11"/>
  <c r="N49" i="11"/>
  <c r="N59" i="11" s="1"/>
  <c r="L26" i="3" s="1"/>
  <c r="AO50" i="11"/>
  <c r="AN61" i="11"/>
  <c r="AN49" i="11"/>
  <c r="AN59" i="11" s="1"/>
  <c r="AF54" i="11"/>
  <c r="AF53" i="11" s="1"/>
  <c r="AE53" i="11"/>
  <c r="AG53" i="11" s="1"/>
  <c r="BB50" i="11"/>
  <c r="BA61" i="11"/>
  <c r="BA49" i="11"/>
  <c r="BA59" i="11" s="1"/>
  <c r="BN61" i="11"/>
  <c r="BN49" i="11"/>
  <c r="BN59" i="11" s="1"/>
  <c r="BO50" i="11"/>
  <c r="BN66" i="11"/>
  <c r="X26" i="3"/>
  <c r="X27" i="3" s="1"/>
  <c r="AZ59" i="11"/>
  <c r="AA61" i="11"/>
  <c r="AB50" i="11"/>
  <c r="AA49" i="11"/>
  <c r="AA59" i="11" s="1"/>
  <c r="AZ45" i="11"/>
  <c r="M45" i="11"/>
  <c r="M63" i="11" s="1"/>
  <c r="Y63" i="11"/>
  <c r="AO36" i="11"/>
  <c r="AN47" i="11"/>
  <c r="AN35" i="11"/>
  <c r="AN45" i="11" s="1"/>
  <c r="O40" i="11"/>
  <c r="O66" i="11" s="1"/>
  <c r="N47" i="11"/>
  <c r="N39" i="11"/>
  <c r="N45" i="11" s="1"/>
  <c r="AM45" i="11"/>
  <c r="AK26" i="3" s="1"/>
  <c r="AK27" i="3" s="1"/>
  <c r="T35" i="11"/>
  <c r="BO36" i="11"/>
  <c r="BN47" i="11"/>
  <c r="BN35" i="11"/>
  <c r="BN45" i="11" s="1"/>
  <c r="BL26" i="3" s="1"/>
  <c r="AB36" i="11"/>
  <c r="AB66" i="11" s="1"/>
  <c r="AA47" i="11"/>
  <c r="AA35" i="11"/>
  <c r="BB36" i="11"/>
  <c r="BB66" i="11" s="1"/>
  <c r="BA47" i="11"/>
  <c r="BA35" i="11"/>
  <c r="BA45" i="11" s="1"/>
  <c r="P54" i="11"/>
  <c r="O53" i="11"/>
  <c r="BB13" i="4"/>
  <c r="BK48" i="8"/>
  <c r="BF19" i="3" s="1"/>
  <c r="AS9" i="2"/>
  <c r="BJ9" i="2"/>
  <c r="BK13" i="4" s="1"/>
  <c r="AK36" i="3"/>
  <c r="AK37" i="3" s="1"/>
  <c r="AK28" i="2"/>
  <c r="AL20" i="4" s="1"/>
  <c r="BK24" i="3"/>
  <c r="BJ60" i="3"/>
  <c r="BW46" i="8"/>
  <c r="AW28" i="2"/>
  <c r="AX28" i="2" s="1"/>
  <c r="AY20" i="4" s="1"/>
  <c r="AP28" i="2"/>
  <c r="AQ28" i="2" s="1"/>
  <c r="AR20" i="4" s="1"/>
  <c r="BG11" i="2"/>
  <c r="AV60" i="3"/>
  <c r="AV27" i="3"/>
  <c r="BN16" i="3"/>
  <c r="BN44" i="3" s="1"/>
  <c r="BR48" i="8"/>
  <c r="BM19" i="3" s="1"/>
  <c r="BL132" i="7"/>
  <c r="BF8" i="3" s="1"/>
  <c r="BF60" i="3" s="1"/>
  <c r="AM28" i="2"/>
  <c r="AN20" i="4" s="1"/>
  <c r="BN9" i="2"/>
  <c r="BP13" i="4" s="1"/>
  <c r="BH27" i="3"/>
  <c r="BW47" i="8"/>
  <c r="BJ48" i="8"/>
  <c r="AG36" i="3"/>
  <c r="AG37" i="3" s="1"/>
  <c r="BI11" i="2"/>
  <c r="BJ27" i="3"/>
  <c r="BO60" i="3"/>
  <c r="BE13" i="4"/>
  <c r="AV9" i="2"/>
  <c r="AX13" i="4" s="1"/>
  <c r="AQ13" i="4"/>
  <c r="AR13" i="4"/>
  <c r="AR60" i="3"/>
  <c r="L84" i="1" s="1"/>
  <c r="AV44" i="3"/>
  <c r="AV64" i="3" s="1"/>
  <c r="AZ28" i="2"/>
  <c r="BA28" i="2" s="1"/>
  <c r="BB20" i="4" s="1"/>
  <c r="BX129" i="7"/>
  <c r="BP48" i="8"/>
  <c r="BK19" i="3" s="1"/>
  <c r="BK27" i="3" s="1"/>
  <c r="BV132" i="7"/>
  <c r="BP8" i="3" s="1"/>
  <c r="BP9" i="2" s="1"/>
  <c r="BR13" i="4" s="1"/>
  <c r="BI60" i="3"/>
  <c r="BG27" i="3"/>
  <c r="BW45" i="8"/>
  <c r="BN48" i="8"/>
  <c r="BI19" i="3" s="1"/>
  <c r="AX9" i="2"/>
  <c r="AZ13" i="4" s="1"/>
  <c r="BO11" i="2"/>
  <c r="BP11" i="2" s="1"/>
  <c r="BQ11" i="2" s="1"/>
  <c r="BQ31" i="3"/>
  <c r="AX60" i="3"/>
  <c r="AX64" i="3" s="1"/>
  <c r="BW44" i="8"/>
  <c r="BX130" i="7"/>
  <c r="BG14" i="3"/>
  <c r="AY13" i="4"/>
  <c r="BK11" i="2"/>
  <c r="BW32" i="8"/>
  <c r="BX32" i="8" s="1"/>
  <c r="BJ11" i="2"/>
  <c r="BF11" i="2"/>
  <c r="BK39" i="8"/>
  <c r="BF21" i="3" s="1"/>
  <c r="BR21" i="3" s="1"/>
  <c r="BN11" i="2"/>
  <c r="BW23" i="8"/>
  <c r="BM24" i="3"/>
  <c r="BI16" i="3"/>
  <c r="BI28" i="2" s="1"/>
  <c r="BJ28" i="2" s="1"/>
  <c r="AH13" i="4"/>
  <c r="BI24" i="3"/>
  <c r="BR13" i="3"/>
  <c r="AT60" i="3"/>
  <c r="AT9" i="2"/>
  <c r="AV13" i="4" s="1"/>
  <c r="BF14" i="3"/>
  <c r="BE8" i="3"/>
  <c r="BE16" i="3" s="1"/>
  <c r="I9" i="12" s="1"/>
  <c r="BM60" i="3"/>
  <c r="BM9" i="2"/>
  <c r="BA13" i="4"/>
  <c r="BJ13" i="4"/>
  <c r="BM132" i="7"/>
  <c r="BG8" i="3" s="1"/>
  <c r="BX131" i="7"/>
  <c r="AG64" i="3"/>
  <c r="AT13" i="4"/>
  <c r="BK60" i="3"/>
  <c r="BK9" i="2"/>
  <c r="BM13" i="4" s="1"/>
  <c r="T66" i="3"/>
  <c r="T67" i="3" s="1"/>
  <c r="BO24" i="3"/>
  <c r="BL28" i="2"/>
  <c r="AS24" i="3"/>
  <c r="BE24" i="3" s="1"/>
  <c r="AS16" i="3"/>
  <c r="AS44" i="3" s="1"/>
  <c r="AE44" i="3"/>
  <c r="I68" i="1" s="1"/>
  <c r="BK16" i="3"/>
  <c r="BK44" i="3" s="1"/>
  <c r="U20" i="4"/>
  <c r="BM16" i="3"/>
  <c r="BM44" i="3" s="1"/>
  <c r="AR24" i="3"/>
  <c r="AF27" i="3"/>
  <c r="X28" i="2"/>
  <c r="X20" i="4"/>
  <c r="L52" i="1"/>
  <c r="L53" i="1" s="1"/>
  <c r="M67" i="1" s="1"/>
  <c r="AR16" i="3"/>
  <c r="G9" i="12" s="1"/>
  <c r="BB44" i="3"/>
  <c r="BB28" i="2"/>
  <c r="BC28" i="2" s="1"/>
  <c r="BD28" i="2" s="1"/>
  <c r="BE20" i="4" s="1"/>
  <c r="AA28" i="2"/>
  <c r="AA20" i="4"/>
  <c r="BO16" i="3"/>
  <c r="P58" i="11"/>
  <c r="O57" i="11"/>
  <c r="P52" i="11"/>
  <c r="O51" i="11"/>
  <c r="W64" i="3"/>
  <c r="W66" i="3" s="1"/>
  <c r="W67" i="3" s="1"/>
  <c r="AK40" i="3"/>
  <c r="AK64" i="3" s="1"/>
  <c r="AW64" i="3"/>
  <c r="AG28" i="2"/>
  <c r="AG20" i="4"/>
  <c r="AR44" i="3"/>
  <c r="L68" i="1" s="1"/>
  <c r="AF64" i="3"/>
  <c r="I27" i="1"/>
  <c r="AE20" i="4"/>
  <c r="AH67" i="3"/>
  <c r="AH72" i="3"/>
  <c r="BH64" i="3"/>
  <c r="BJ64" i="3"/>
  <c r="AJ23" i="8"/>
  <c r="BO53" i="3"/>
  <c r="BX26" i="8"/>
  <c r="BR20" i="3"/>
  <c r="U66" i="3"/>
  <c r="U37" i="3"/>
  <c r="V66" i="3"/>
  <c r="V37" i="3"/>
  <c r="AJ66" i="3"/>
  <c r="AJ37" i="3"/>
  <c r="AI66" i="3"/>
  <c r="AI37" i="3"/>
  <c r="I53" i="1"/>
  <c r="V20" i="4"/>
  <c r="W20" i="4"/>
  <c r="BE47" i="3"/>
  <c r="O71" i="1" s="1"/>
  <c r="BD53" i="3"/>
  <c r="BE53" i="3" s="1"/>
  <c r="O77" i="1" s="1"/>
  <c r="BE43" i="3"/>
  <c r="O67" i="1" s="1"/>
  <c r="O51" i="1"/>
  <c r="BD49" i="3"/>
  <c r="BE49" i="3" s="1"/>
  <c r="O73" i="1" s="1"/>
  <c r="BD54" i="3"/>
  <c r="BE54" i="3" s="1"/>
  <c r="O78" i="1" s="1"/>
  <c r="BE59" i="3"/>
  <c r="O83" i="1" s="1"/>
  <c r="BE63" i="3"/>
  <c r="BE61" i="3"/>
  <c r="O85" i="1" s="1"/>
  <c r="X36" i="3"/>
  <c r="L11" i="1"/>
  <c r="BT13" i="11"/>
  <c r="T29" i="11"/>
  <c r="BU29" i="11" s="1"/>
  <c r="S70" i="7"/>
  <c r="R70" i="7"/>
  <c r="R69" i="7"/>
  <c r="T69" i="7"/>
  <c r="S69" i="7"/>
  <c r="V69" i="7"/>
  <c r="W69" i="7"/>
  <c r="AB31" i="11"/>
  <c r="Z25" i="3" s="1"/>
  <c r="N17" i="11"/>
  <c r="P21" i="17"/>
  <c r="O29" i="17"/>
  <c r="M61" i="7"/>
  <c r="N61" i="7"/>
  <c r="U70" i="7"/>
  <c r="L39" i="2"/>
  <c r="AG41" i="11"/>
  <c r="AF14" i="11"/>
  <c r="AF13" i="11" s="1"/>
  <c r="AE13" i="11"/>
  <c r="B123" i="10"/>
  <c r="N29" i="4"/>
  <c r="X40" i="7"/>
  <c r="BY40" i="7" s="1"/>
  <c r="L77" i="7"/>
  <c r="X77" i="7" s="1"/>
  <c r="BD14" i="11"/>
  <c r="BC13" i="11"/>
  <c r="BD24" i="11"/>
  <c r="BC23" i="11"/>
  <c r="CJ10" i="14"/>
  <c r="CK11" i="14"/>
  <c r="T75" i="6"/>
  <c r="U71" i="6" s="1"/>
  <c r="U75" i="6" s="1"/>
  <c r="V71" i="6" s="1"/>
  <c r="V75" i="6" s="1"/>
  <c r="W71" i="6" s="1"/>
  <c r="W75" i="6" s="1"/>
  <c r="X71" i="6" s="1"/>
  <c r="X75" i="6" s="1"/>
  <c r="Y71" i="6" s="1"/>
  <c r="Y75" i="6" s="1"/>
  <c r="Z71" i="6" s="1"/>
  <c r="Z75" i="6" s="1"/>
  <c r="AA71" i="6" s="1"/>
  <c r="AA75" i="6" s="1"/>
  <c r="AB71" i="6" s="1"/>
  <c r="AB75" i="6" s="1"/>
  <c r="AC71" i="6" s="1"/>
  <c r="AC75" i="6" s="1"/>
  <c r="AD71" i="6" s="1"/>
  <c r="AD75" i="6" s="1"/>
  <c r="AE71" i="6" s="1"/>
  <c r="AE75" i="6" s="1"/>
  <c r="AG71" i="6" s="1"/>
  <c r="AF71" i="6"/>
  <c r="AF75" i="6" s="1"/>
  <c r="AD16" i="11"/>
  <c r="AC15" i="11"/>
  <c r="R11" i="14"/>
  <c r="Q10" i="14"/>
  <c r="AB7" i="11"/>
  <c r="Q24" i="11"/>
  <c r="P23" i="11"/>
  <c r="P31" i="11" s="1"/>
  <c r="N25" i="3" s="1"/>
  <c r="AD26" i="11"/>
  <c r="AC25" i="11"/>
  <c r="AC31" i="11" s="1"/>
  <c r="AA25" i="3" s="1"/>
  <c r="P8" i="11"/>
  <c r="O7" i="11"/>
  <c r="O17" i="11" s="1"/>
  <c r="L76" i="7"/>
  <c r="X76" i="7" s="1"/>
  <c r="X39" i="7"/>
  <c r="BY39" i="7" s="1"/>
  <c r="M70" i="7"/>
  <c r="W70" i="7"/>
  <c r="V70" i="7"/>
  <c r="U69" i="7"/>
  <c r="R72" i="7"/>
  <c r="Q72" i="7"/>
  <c r="P72" i="7"/>
  <c r="N69" i="7"/>
  <c r="M69" i="7"/>
  <c r="U61" i="7"/>
  <c r="W61" i="7"/>
  <c r="V61" i="7"/>
  <c r="BP8" i="11"/>
  <c r="BO7" i="11"/>
  <c r="I55" i="6"/>
  <c r="D13" i="14"/>
  <c r="C13" i="14" s="1"/>
  <c r="J12" i="14" s="1"/>
  <c r="V72" i="7"/>
  <c r="W72" i="7"/>
  <c r="CD12" i="14"/>
  <c r="BZ13" i="14"/>
  <c r="AA52" i="6"/>
  <c r="AA55" i="6" s="1"/>
  <c r="Q26" i="17"/>
  <c r="Q22" i="17"/>
  <c r="Q21" i="17"/>
  <c r="Q27" i="17"/>
  <c r="Q23" i="17"/>
  <c r="Q24" i="17"/>
  <c r="Q25" i="17"/>
  <c r="BS78" i="6"/>
  <c r="BS82" i="6" s="1"/>
  <c r="BG82" i="6"/>
  <c r="BH78" i="6" s="1"/>
  <c r="BH82" i="6" s="1"/>
  <c r="BI78" i="6" s="1"/>
  <c r="BI82" i="6" s="1"/>
  <c r="BJ78" i="6" s="1"/>
  <c r="BJ82" i="6" s="1"/>
  <c r="BK78" i="6" s="1"/>
  <c r="BK82" i="6" s="1"/>
  <c r="BL78" i="6" s="1"/>
  <c r="BL82" i="6" s="1"/>
  <c r="BM78" i="6" s="1"/>
  <c r="BM82" i="6" s="1"/>
  <c r="BN78" i="6" s="1"/>
  <c r="BN82" i="6" s="1"/>
  <c r="BO78" i="6" s="1"/>
  <c r="BO82" i="6" s="1"/>
  <c r="BP78" i="6" s="1"/>
  <c r="BP82" i="6" s="1"/>
  <c r="BQ78" i="6" s="1"/>
  <c r="BQ82" i="6" s="1"/>
  <c r="BR78" i="6" s="1"/>
  <c r="BR82" i="6" s="1"/>
  <c r="Q69" i="7"/>
  <c r="P69" i="7"/>
  <c r="O69" i="7"/>
  <c r="T71" i="7"/>
  <c r="P71" i="7"/>
  <c r="W71" i="7"/>
  <c r="S71" i="7"/>
  <c r="O71" i="7"/>
  <c r="R71" i="7"/>
  <c r="Q71" i="7"/>
  <c r="V71" i="7"/>
  <c r="N71" i="7"/>
  <c r="U71" i="7"/>
  <c r="M71" i="7"/>
  <c r="Q70" i="7"/>
  <c r="P70" i="7"/>
  <c r="O70" i="7"/>
  <c r="N70" i="7"/>
  <c r="BC8" i="11"/>
  <c r="BB7" i="11"/>
  <c r="W68" i="7"/>
  <c r="S68" i="7"/>
  <c r="O68" i="7"/>
  <c r="V68" i="7"/>
  <c r="R68" i="7"/>
  <c r="N68" i="7"/>
  <c r="Q68" i="7"/>
  <c r="P68" i="7"/>
  <c r="U68" i="7"/>
  <c r="M68" i="7"/>
  <c r="T68" i="7"/>
  <c r="O72" i="7"/>
  <c r="N72" i="7"/>
  <c r="M72" i="7"/>
  <c r="T70" i="7"/>
  <c r="AF24" i="11"/>
  <c r="AF23" i="11" s="1"/>
  <c r="AE23" i="11"/>
  <c r="M31" i="4"/>
  <c r="L17" i="2"/>
  <c r="AP8" i="11"/>
  <c r="AO7" i="11"/>
  <c r="P13" i="11"/>
  <c r="AS42" i="11"/>
  <c r="AS41" i="11" s="1"/>
  <c r="AR41" i="11"/>
  <c r="BM63" i="11" l="1"/>
  <c r="BC12" i="11"/>
  <c r="BB19" i="11"/>
  <c r="BB11" i="11"/>
  <c r="BB17" i="11" s="1"/>
  <c r="AZ40" i="3" s="1"/>
  <c r="AP12" i="11"/>
  <c r="AO19" i="11"/>
  <c r="AO11" i="11"/>
  <c r="AO17" i="11" s="1"/>
  <c r="AN17" i="11"/>
  <c r="AL40" i="3" s="1"/>
  <c r="AL64" i="3" s="1"/>
  <c r="AC12" i="11"/>
  <c r="AB19" i="11"/>
  <c r="AB11" i="11"/>
  <c r="AB17" i="11" s="1"/>
  <c r="Z40" i="3" s="1"/>
  <c r="X40" i="3"/>
  <c r="Z63" i="11"/>
  <c r="BP10" i="11"/>
  <c r="BO19" i="11"/>
  <c r="BO9" i="11"/>
  <c r="BO17" i="11" s="1"/>
  <c r="BM40" i="3" s="1"/>
  <c r="BL27" i="3"/>
  <c r="BO33" i="11"/>
  <c r="BP24" i="11"/>
  <c r="BO23" i="11"/>
  <c r="AM63" i="11"/>
  <c r="AY26" i="3"/>
  <c r="AY27" i="3" s="1"/>
  <c r="BO66" i="11"/>
  <c r="AO66" i="11"/>
  <c r="BA63" i="11"/>
  <c r="AY64" i="3" s="1"/>
  <c r="BC50" i="11"/>
  <c r="BB61" i="11"/>
  <c r="BB49" i="11"/>
  <c r="BO61" i="11"/>
  <c r="BO49" i="11"/>
  <c r="BO59" i="11" s="1"/>
  <c r="BP50" i="11"/>
  <c r="BP66" i="11" s="1"/>
  <c r="AL26" i="3"/>
  <c r="AL27" i="3" s="1"/>
  <c r="AL36" i="3" s="1"/>
  <c r="AL37" i="3" s="1"/>
  <c r="AB61" i="11"/>
  <c r="AC50" i="11"/>
  <c r="AB49" i="11"/>
  <c r="AB59" i="11" s="1"/>
  <c r="AP50" i="11"/>
  <c r="AO61" i="11"/>
  <c r="AO49" i="11"/>
  <c r="AO59" i="11" s="1"/>
  <c r="P50" i="11"/>
  <c r="P66" i="11" s="1"/>
  <c r="O61" i="11"/>
  <c r="O49" i="11"/>
  <c r="BN63" i="11"/>
  <c r="AA45" i="11"/>
  <c r="Y26" i="3" s="1"/>
  <c r="Y27" i="3" s="1"/>
  <c r="Y36" i="3" s="1"/>
  <c r="Y37" i="3" s="1"/>
  <c r="K26" i="3"/>
  <c r="BP36" i="11"/>
  <c r="BO47" i="11"/>
  <c r="BO35" i="11"/>
  <c r="BO45" i="11" s="1"/>
  <c r="BM26" i="3" s="1"/>
  <c r="AO47" i="11"/>
  <c r="AP36" i="11"/>
  <c r="AO35" i="11"/>
  <c r="AO45" i="11" s="1"/>
  <c r="AM26" i="3" s="1"/>
  <c r="AM27" i="3" s="1"/>
  <c r="AM36" i="3" s="1"/>
  <c r="AM37" i="3" s="1"/>
  <c r="BC36" i="11"/>
  <c r="BB47" i="11"/>
  <c r="BB35" i="11"/>
  <c r="BB45" i="11" s="1"/>
  <c r="AC36" i="11"/>
  <c r="AB47" i="11"/>
  <c r="AB35" i="11"/>
  <c r="AB45" i="11" s="1"/>
  <c r="P40" i="11"/>
  <c r="O47" i="11"/>
  <c r="O39" i="11"/>
  <c r="O45" i="11" s="1"/>
  <c r="AX26" i="3"/>
  <c r="AZ63" i="11"/>
  <c r="Q54" i="11"/>
  <c r="P53" i="11"/>
  <c r="O59" i="11"/>
  <c r="BP60" i="3"/>
  <c r="AM20" i="4"/>
  <c r="AK66" i="3"/>
  <c r="AK67" i="3" s="1"/>
  <c r="BE60" i="3"/>
  <c r="O84" i="1" s="1"/>
  <c r="AG66" i="3"/>
  <c r="AG67" i="3" s="1"/>
  <c r="L27" i="1"/>
  <c r="AQ20" i="4"/>
  <c r="AX20" i="4"/>
  <c r="BF16" i="3"/>
  <c r="BF44" i="3" s="1"/>
  <c r="BW39" i="8"/>
  <c r="BC11" i="2"/>
  <c r="BF9" i="2"/>
  <c r="AU13" i="4"/>
  <c r="BK64" i="3"/>
  <c r="BO13" i="4"/>
  <c r="AN28" i="2"/>
  <c r="AO20" i="4" s="1"/>
  <c r="BI27" i="3"/>
  <c r="BP16" i="3"/>
  <c r="BP44" i="3" s="1"/>
  <c r="BW48" i="8"/>
  <c r="BA20" i="4"/>
  <c r="AW13" i="4"/>
  <c r="L113" i="1"/>
  <c r="BX132" i="7"/>
  <c r="L58" i="1"/>
  <c r="M58" i="1" s="1"/>
  <c r="AR34" i="3"/>
  <c r="O58" i="1"/>
  <c r="BE34" i="3"/>
  <c r="BR14" i="3"/>
  <c r="T72" i="3"/>
  <c r="T73" i="3" s="1"/>
  <c r="BI44" i="3"/>
  <c r="BI64" i="3" s="1"/>
  <c r="M72" i="1"/>
  <c r="M86" i="1"/>
  <c r="M81" i="1"/>
  <c r="M83" i="1"/>
  <c r="M51" i="1"/>
  <c r="M82" i="1"/>
  <c r="M85" i="1"/>
  <c r="M77" i="1"/>
  <c r="M52" i="1"/>
  <c r="M80" i="1"/>
  <c r="M76" i="1"/>
  <c r="M69" i="1"/>
  <c r="M73" i="1"/>
  <c r="M78" i="1"/>
  <c r="M70" i="1"/>
  <c r="M74" i="1"/>
  <c r="M87" i="1"/>
  <c r="M71" i="1"/>
  <c r="M75" i="1"/>
  <c r="M53" i="1"/>
  <c r="M50" i="1"/>
  <c r="BL13" i="4"/>
  <c r="M84" i="1"/>
  <c r="AT64" i="3"/>
  <c r="M68" i="1"/>
  <c r="BQ13" i="4"/>
  <c r="O50" i="1"/>
  <c r="O53" i="1" s="1"/>
  <c r="P77" i="1" s="1"/>
  <c r="BN13" i="4"/>
  <c r="BG13" i="4"/>
  <c r="BG60" i="3"/>
  <c r="BR60" i="3" s="1"/>
  <c r="BG9" i="2"/>
  <c r="BI13" i="4" s="1"/>
  <c r="BG16" i="3"/>
  <c r="BG44" i="3" s="1"/>
  <c r="BR8" i="3"/>
  <c r="R50" i="1" s="1"/>
  <c r="AS27" i="3"/>
  <c r="H9" i="12"/>
  <c r="AS28" i="2"/>
  <c r="AT28" i="2" s="1"/>
  <c r="AU28" i="2" s="1"/>
  <c r="AZ20" i="4"/>
  <c r="BM28" i="2"/>
  <c r="BD20" i="4"/>
  <c r="O27" i="1"/>
  <c r="BO44" i="3"/>
  <c r="BO28" i="2"/>
  <c r="BC20" i="4"/>
  <c r="BE44" i="3"/>
  <c r="O68" i="1" s="1"/>
  <c r="AC20" i="4"/>
  <c r="AB20" i="4"/>
  <c r="R52" i="1"/>
  <c r="BF24" i="3"/>
  <c r="Y20" i="4"/>
  <c r="Z20" i="4"/>
  <c r="W72" i="3"/>
  <c r="W73" i="3" s="1"/>
  <c r="Q52" i="11"/>
  <c r="P51" i="11"/>
  <c r="Q58" i="11"/>
  <c r="P57" i="11"/>
  <c r="N63" i="11"/>
  <c r="L40" i="3"/>
  <c r="M40" i="3"/>
  <c r="Y40" i="3"/>
  <c r="BK28" i="2"/>
  <c r="BL20" i="4" s="1"/>
  <c r="BK20" i="4"/>
  <c r="AS64" i="3"/>
  <c r="AH28" i="2"/>
  <c r="AH20" i="4"/>
  <c r="AI67" i="3"/>
  <c r="AI72" i="3"/>
  <c r="V67" i="3"/>
  <c r="V72" i="3"/>
  <c r="U67" i="3"/>
  <c r="U72" i="3"/>
  <c r="AJ67" i="3"/>
  <c r="AJ72" i="3"/>
  <c r="AH73" i="3"/>
  <c r="X37" i="3"/>
  <c r="J58" i="1"/>
  <c r="J68" i="1"/>
  <c r="J50" i="1"/>
  <c r="J75" i="1"/>
  <c r="J84" i="1"/>
  <c r="J86" i="1"/>
  <c r="J52" i="1"/>
  <c r="J72" i="1"/>
  <c r="J82" i="1"/>
  <c r="J53" i="1"/>
  <c r="J76" i="1"/>
  <c r="J81" i="1"/>
  <c r="J74" i="1"/>
  <c r="J80" i="1"/>
  <c r="J70" i="1"/>
  <c r="J69" i="1"/>
  <c r="J73" i="1"/>
  <c r="J51" i="1"/>
  <c r="J77" i="1"/>
  <c r="J87" i="1"/>
  <c r="J85" i="1"/>
  <c r="J71" i="1"/>
  <c r="J67" i="1"/>
  <c r="J78" i="1"/>
  <c r="J83" i="1"/>
  <c r="R51" i="1"/>
  <c r="BQ49" i="3"/>
  <c r="BR49" i="3" s="1"/>
  <c r="R73" i="1" s="1"/>
  <c r="BR63" i="3"/>
  <c r="R87" i="1" s="1"/>
  <c r="BR61" i="3"/>
  <c r="R85" i="1" s="1"/>
  <c r="BQ54" i="3"/>
  <c r="BR54" i="3" s="1"/>
  <c r="R78" i="1" s="1"/>
  <c r="BQ53" i="3"/>
  <c r="BR53" i="3" s="1"/>
  <c r="R77" i="1" s="1"/>
  <c r="BR43" i="3"/>
  <c r="R67" i="1" s="1"/>
  <c r="BR47" i="3"/>
  <c r="R71" i="1" s="1"/>
  <c r="BR59" i="3"/>
  <c r="R83" i="1" s="1"/>
  <c r="O87" i="1"/>
  <c r="BH36" i="3"/>
  <c r="BJ36" i="3"/>
  <c r="AW36" i="3"/>
  <c r="H34" i="4"/>
  <c r="G33" i="2" s="1"/>
  <c r="G34" i="2" s="1"/>
  <c r="AG23" i="11"/>
  <c r="AG13" i="11"/>
  <c r="M75" i="7"/>
  <c r="M81" i="7" s="1"/>
  <c r="G10" i="3" s="1"/>
  <c r="N75" i="7"/>
  <c r="N81" i="7" s="1"/>
  <c r="H10" i="3" s="1"/>
  <c r="S75" i="7"/>
  <c r="S81" i="7" s="1"/>
  <c r="M10" i="3" s="1"/>
  <c r="AE16" i="11"/>
  <c r="AD15" i="11"/>
  <c r="CL11" i="14"/>
  <c r="CK10" i="14"/>
  <c r="BC31" i="11"/>
  <c r="BA25" i="3" s="1"/>
  <c r="M17" i="2"/>
  <c r="N31" i="4"/>
  <c r="M60" i="7"/>
  <c r="M65" i="7" s="1"/>
  <c r="G9" i="3" s="1"/>
  <c r="H90" i="6"/>
  <c r="S61" i="7"/>
  <c r="S65" i="7" s="1"/>
  <c r="M9" i="3" s="1"/>
  <c r="N90" i="6"/>
  <c r="V60" i="7"/>
  <c r="V65" i="7" s="1"/>
  <c r="P9" i="3" s="1"/>
  <c r="Q90" i="6"/>
  <c r="L72" i="7"/>
  <c r="X72" i="7" s="1"/>
  <c r="X35" i="7"/>
  <c r="BY35" i="7" s="1"/>
  <c r="U75" i="7"/>
  <c r="U81" i="7" s="1"/>
  <c r="O10" i="3" s="1"/>
  <c r="R75" i="7"/>
  <c r="R81" i="7" s="1"/>
  <c r="L10" i="3" s="1"/>
  <c r="W75" i="7"/>
  <c r="W81" i="7" s="1"/>
  <c r="Q10" i="3" s="1"/>
  <c r="J52" i="6"/>
  <c r="J55" i="6" s="1"/>
  <c r="AE26" i="11"/>
  <c r="AD25" i="11"/>
  <c r="AD31" i="11" s="1"/>
  <c r="AB25" i="3" s="1"/>
  <c r="AC7" i="11"/>
  <c r="S11" i="14"/>
  <c r="R10" i="14"/>
  <c r="BD23" i="11"/>
  <c r="BD31" i="11" s="1"/>
  <c r="BB25" i="3" s="1"/>
  <c r="BE24" i="11"/>
  <c r="B124" i="10"/>
  <c r="O29" i="4"/>
  <c r="N60" i="7"/>
  <c r="N65" i="7" s="1"/>
  <c r="H9" i="3" s="1"/>
  <c r="I90" i="6"/>
  <c r="T61" i="7"/>
  <c r="T65" i="7" s="1"/>
  <c r="N9" i="3" s="1"/>
  <c r="O90" i="6"/>
  <c r="O61" i="7"/>
  <c r="O65" i="7" s="1"/>
  <c r="I9" i="3" s="1"/>
  <c r="J90" i="6"/>
  <c r="L61" i="7"/>
  <c r="X24" i="7"/>
  <c r="BY24" i="7" s="1"/>
  <c r="AT41" i="11"/>
  <c r="Q13" i="11"/>
  <c r="L68" i="7"/>
  <c r="X31" i="7"/>
  <c r="BY31" i="7" s="1"/>
  <c r="L71" i="7"/>
  <c r="X71" i="7" s="1"/>
  <c r="X34" i="7"/>
  <c r="BY34" i="7" s="1"/>
  <c r="AC52" i="6"/>
  <c r="AC55" i="6" s="1"/>
  <c r="F13" i="14"/>
  <c r="L75" i="7"/>
  <c r="X38" i="7"/>
  <c r="BY38" i="7" s="1"/>
  <c r="P75" i="7"/>
  <c r="P81" i="7" s="1"/>
  <c r="J10" i="3" s="1"/>
  <c r="V75" i="7"/>
  <c r="V81" i="7" s="1"/>
  <c r="P10" i="3" s="1"/>
  <c r="BQ8" i="11"/>
  <c r="BP7" i="11"/>
  <c r="L69" i="7"/>
  <c r="X69" i="7" s="1"/>
  <c r="X32" i="7"/>
  <c r="BY32" i="7" s="1"/>
  <c r="Q8" i="11"/>
  <c r="P7" i="11"/>
  <c r="P17" i="11" s="1"/>
  <c r="M39" i="2"/>
  <c r="L60" i="7"/>
  <c r="X23" i="7"/>
  <c r="BY23" i="7" s="1"/>
  <c r="G90" i="6"/>
  <c r="R90" i="6"/>
  <c r="W60" i="7"/>
  <c r="W65" i="7" s="1"/>
  <c r="Q9" i="3" s="1"/>
  <c r="P61" i="7"/>
  <c r="P65" i="7" s="1"/>
  <c r="J9" i="3" s="1"/>
  <c r="K90" i="6"/>
  <c r="AQ8" i="11"/>
  <c r="AP7" i="11"/>
  <c r="BC66" i="11"/>
  <c r="BD8" i="11"/>
  <c r="BC7" i="11"/>
  <c r="BV14" i="14"/>
  <c r="BY14" i="14"/>
  <c r="J13" i="14"/>
  <c r="G76" i="3" s="1"/>
  <c r="T75" i="7"/>
  <c r="T81" i="7" s="1"/>
  <c r="N10" i="3" s="1"/>
  <c r="Q75" i="7"/>
  <c r="Q81" i="7" s="1"/>
  <c r="K10" i="3" s="1"/>
  <c r="O75" i="7"/>
  <c r="O81" i="7" s="1"/>
  <c r="I10" i="3" s="1"/>
  <c r="L70" i="7"/>
  <c r="X70" i="7" s="1"/>
  <c r="X33" i="7"/>
  <c r="BY33" i="7" s="1"/>
  <c r="R24" i="11"/>
  <c r="Q23" i="11"/>
  <c r="Q31" i="11" s="1"/>
  <c r="O25" i="3" s="1"/>
  <c r="AS71" i="6"/>
  <c r="AS75" i="6" s="1"/>
  <c r="AG75" i="6"/>
  <c r="AH71" i="6" s="1"/>
  <c r="AH75" i="6" s="1"/>
  <c r="AI71" i="6" s="1"/>
  <c r="AI75" i="6" s="1"/>
  <c r="AJ71" i="6" s="1"/>
  <c r="AJ75" i="6" s="1"/>
  <c r="AK71" i="6" s="1"/>
  <c r="AK75" i="6" s="1"/>
  <c r="AL71" i="6" s="1"/>
  <c r="AL75" i="6" s="1"/>
  <c r="AM71" i="6" s="1"/>
  <c r="AM75" i="6" s="1"/>
  <c r="AN71" i="6" s="1"/>
  <c r="AN75" i="6" s="1"/>
  <c r="AO71" i="6" s="1"/>
  <c r="AO75" i="6" s="1"/>
  <c r="AP71" i="6" s="1"/>
  <c r="AP75" i="6" s="1"/>
  <c r="AQ71" i="6" s="1"/>
  <c r="AQ75" i="6" s="1"/>
  <c r="AR71" i="6" s="1"/>
  <c r="AR75" i="6" s="1"/>
  <c r="AT71" i="6" s="1"/>
  <c r="BD13" i="11"/>
  <c r="BE14" i="11"/>
  <c r="R61" i="7"/>
  <c r="R65" i="7" s="1"/>
  <c r="L9" i="3" s="1"/>
  <c r="M90" i="6"/>
  <c r="U60" i="7"/>
  <c r="U65" i="7" s="1"/>
  <c r="O9" i="3" s="1"/>
  <c r="P90" i="6"/>
  <c r="Q61" i="7"/>
  <c r="Q65" i="7" s="1"/>
  <c r="K9" i="3" s="1"/>
  <c r="L90" i="6"/>
  <c r="BD12" i="11" l="1"/>
  <c r="BC19" i="11"/>
  <c r="BC11" i="11"/>
  <c r="BC17" i="11" s="1"/>
  <c r="BA40" i="3" s="1"/>
  <c r="AN63" i="11"/>
  <c r="AO63" i="11"/>
  <c r="AM40" i="3"/>
  <c r="AP17" i="11"/>
  <c r="AN40" i="3" s="1"/>
  <c r="AQ12" i="11"/>
  <c r="AP19" i="11"/>
  <c r="AP11" i="11"/>
  <c r="X64" i="3"/>
  <c r="X66" i="3" s="1"/>
  <c r="AD12" i="11"/>
  <c r="AC19" i="11"/>
  <c r="AC11" i="11"/>
  <c r="AC17" i="11" s="1"/>
  <c r="AB63" i="11"/>
  <c r="Z64" i="3" s="1"/>
  <c r="Z66" i="3" s="1"/>
  <c r="BQ10" i="11"/>
  <c r="BP19" i="11"/>
  <c r="BP9" i="11"/>
  <c r="BP33" i="11"/>
  <c r="BQ24" i="11"/>
  <c r="BP23" i="11"/>
  <c r="BP31" i="11" s="1"/>
  <c r="BN25" i="3" s="1"/>
  <c r="BO31" i="11"/>
  <c r="AA63" i="11"/>
  <c r="Z26" i="3"/>
  <c r="Z27" i="3" s="1"/>
  <c r="Z36" i="3" s="1"/>
  <c r="Z37" i="3" s="1"/>
  <c r="AL66" i="3"/>
  <c r="AL67" i="3" s="1"/>
  <c r="P61" i="11"/>
  <c r="P49" i="11"/>
  <c r="Q50" i="11"/>
  <c r="BP61" i="11"/>
  <c r="BQ50" i="11"/>
  <c r="BP49" i="11"/>
  <c r="BP59" i="11" s="1"/>
  <c r="AQ50" i="11"/>
  <c r="AP61" i="11"/>
  <c r="AP49" i="11"/>
  <c r="BB59" i="11"/>
  <c r="BB63" i="11" s="1"/>
  <c r="M26" i="3"/>
  <c r="AC61" i="11"/>
  <c r="AD50" i="11"/>
  <c r="AC49" i="11"/>
  <c r="AC59" i="11" s="1"/>
  <c r="BD50" i="11"/>
  <c r="BC61" i="11"/>
  <c r="BC49" i="11"/>
  <c r="BC59" i="11" s="1"/>
  <c r="AC47" i="11"/>
  <c r="AD36" i="11"/>
  <c r="AC35" i="11"/>
  <c r="AQ36" i="11"/>
  <c r="AP47" i="11"/>
  <c r="AP35" i="11"/>
  <c r="AP45" i="11" s="1"/>
  <c r="BQ36" i="11"/>
  <c r="BP47" i="11"/>
  <c r="BP35" i="11"/>
  <c r="BD36" i="11"/>
  <c r="BC47" i="11"/>
  <c r="BC35" i="11"/>
  <c r="BC45" i="11" s="1"/>
  <c r="BA26" i="3" s="1"/>
  <c r="BA27" i="3" s="1"/>
  <c r="AP66" i="11"/>
  <c r="AX27" i="3"/>
  <c r="AX36" i="3" s="1"/>
  <c r="AC66" i="11"/>
  <c r="Q40" i="11"/>
  <c r="P39" i="11"/>
  <c r="P45" i="11" s="1"/>
  <c r="P47" i="11"/>
  <c r="O63" i="11"/>
  <c r="R54" i="11"/>
  <c r="Q53" i="11"/>
  <c r="AK72" i="3"/>
  <c r="AK73" i="3" s="1"/>
  <c r="J13" i="3"/>
  <c r="AG72" i="3"/>
  <c r="AG73" i="3" s="1"/>
  <c r="BF28" i="2"/>
  <c r="BG28" i="2" s="1"/>
  <c r="BH28" i="2" s="1"/>
  <c r="O113" i="1"/>
  <c r="L13" i="3"/>
  <c r="L24" i="3" s="1"/>
  <c r="AP20" i="4"/>
  <c r="K13" i="3"/>
  <c r="K24" i="3" s="1"/>
  <c r="O13" i="3"/>
  <c r="O24" i="3" s="1"/>
  <c r="I13" i="3"/>
  <c r="I24" i="3" s="1"/>
  <c r="H13" i="3"/>
  <c r="H24" i="3" s="1"/>
  <c r="G13" i="3"/>
  <c r="G24" i="3" s="1"/>
  <c r="Q13" i="3"/>
  <c r="Q24" i="3" s="1"/>
  <c r="N13" i="3"/>
  <c r="N24" i="3" s="1"/>
  <c r="P13" i="3"/>
  <c r="P24" i="3" s="1"/>
  <c r="M13" i="3"/>
  <c r="M24" i="3" s="1"/>
  <c r="BG64" i="3"/>
  <c r="R84" i="1"/>
  <c r="BS60" i="3"/>
  <c r="BG36" i="3"/>
  <c r="BG37" i="3" s="1"/>
  <c r="BH13" i="4"/>
  <c r="R113" i="1" s="1"/>
  <c r="BS8" i="3"/>
  <c r="AU20" i="4"/>
  <c r="AT20" i="4"/>
  <c r="BN28" i="2"/>
  <c r="BO20" i="4" s="1"/>
  <c r="BN20" i="4"/>
  <c r="J24" i="3"/>
  <c r="BR16" i="3"/>
  <c r="K9" i="12" s="1"/>
  <c r="BP28" i="2"/>
  <c r="BR24" i="3"/>
  <c r="R58" i="1" s="1"/>
  <c r="BF27" i="3"/>
  <c r="BF36" i="3" s="1"/>
  <c r="R58" i="11"/>
  <c r="Q57" i="11"/>
  <c r="R52" i="11"/>
  <c r="Q51" i="11"/>
  <c r="AL72" i="3"/>
  <c r="AL73" i="3" s="1"/>
  <c r="AZ64" i="3"/>
  <c r="Y64" i="3"/>
  <c r="Y66" i="3" s="1"/>
  <c r="AM64" i="3"/>
  <c r="AM66" i="3" s="1"/>
  <c r="N40" i="3"/>
  <c r="BM64" i="3"/>
  <c r="BM20" i="4"/>
  <c r="BF64" i="3"/>
  <c r="BR44" i="3"/>
  <c r="R68" i="1" s="1"/>
  <c r="AJ20" i="4"/>
  <c r="AI20" i="4"/>
  <c r="U73" i="3"/>
  <c r="AI73" i="3"/>
  <c r="X67" i="3"/>
  <c r="X72" i="3"/>
  <c r="AJ73" i="3"/>
  <c r="V73" i="3"/>
  <c r="P83" i="1"/>
  <c r="P87" i="1"/>
  <c r="P71" i="1"/>
  <c r="P78" i="1"/>
  <c r="AW66" i="3"/>
  <c r="AW37" i="3"/>
  <c r="BH66" i="3"/>
  <c r="BH37" i="3"/>
  <c r="BJ66" i="3"/>
  <c r="BJ37" i="3"/>
  <c r="R53" i="1"/>
  <c r="S71" i="1" s="1"/>
  <c r="P50" i="1"/>
  <c r="P72" i="1"/>
  <c r="P82" i="1"/>
  <c r="P84" i="1"/>
  <c r="P68" i="1"/>
  <c r="P52" i="1"/>
  <c r="P53" i="1"/>
  <c r="P74" i="1"/>
  <c r="P76" i="1"/>
  <c r="P86" i="1"/>
  <c r="P70" i="1"/>
  <c r="P75" i="1"/>
  <c r="P81" i="1"/>
  <c r="P58" i="1"/>
  <c r="P80" i="1"/>
  <c r="P69" i="1"/>
  <c r="P73" i="1"/>
  <c r="P67" i="1"/>
  <c r="P51" i="1"/>
  <c r="P85" i="1"/>
  <c r="F9" i="12"/>
  <c r="AY36" i="3"/>
  <c r="BK36" i="3"/>
  <c r="AV36" i="3"/>
  <c r="BS63" i="3"/>
  <c r="AU36" i="3"/>
  <c r="R11" i="1"/>
  <c r="AV20" i="4"/>
  <c r="AW20" i="4"/>
  <c r="BL36" i="3"/>
  <c r="BI36" i="3"/>
  <c r="AT36" i="3"/>
  <c r="H38" i="4"/>
  <c r="X68" i="7"/>
  <c r="L81" i="7"/>
  <c r="L65" i="7"/>
  <c r="G77" i="3"/>
  <c r="BU41" i="11"/>
  <c r="R57" i="1"/>
  <c r="L57" i="1"/>
  <c r="M57" i="1" s="1"/>
  <c r="I57" i="1"/>
  <c r="J57" i="1" s="1"/>
  <c r="AF36" i="3"/>
  <c r="AR19" i="3"/>
  <c r="AR29" i="3" s="1"/>
  <c r="AE19" i="3"/>
  <c r="AE29" i="3" s="1"/>
  <c r="S36" i="3"/>
  <c r="O57" i="1"/>
  <c r="P57" i="1" s="1"/>
  <c r="BR19" i="3"/>
  <c r="AT75" i="6"/>
  <c r="AU71" i="6" s="1"/>
  <c r="AU75" i="6" s="1"/>
  <c r="AV71" i="6" s="1"/>
  <c r="AV75" i="6" s="1"/>
  <c r="AW71" i="6" s="1"/>
  <c r="AW75" i="6" s="1"/>
  <c r="AX71" i="6" s="1"/>
  <c r="AX75" i="6" s="1"/>
  <c r="AY71" i="6" s="1"/>
  <c r="AY75" i="6" s="1"/>
  <c r="AZ71" i="6" s="1"/>
  <c r="AZ75" i="6" s="1"/>
  <c r="BA71" i="6" s="1"/>
  <c r="BA75" i="6" s="1"/>
  <c r="BB71" i="6" s="1"/>
  <c r="BB75" i="6" s="1"/>
  <c r="BC71" i="6" s="1"/>
  <c r="BC75" i="6" s="1"/>
  <c r="BD71" i="6" s="1"/>
  <c r="BD75" i="6" s="1"/>
  <c r="BE71" i="6" s="1"/>
  <c r="BE75" i="6" s="1"/>
  <c r="BG71" i="6" s="1"/>
  <c r="BF71" i="6"/>
  <c r="BF75" i="6" s="1"/>
  <c r="BF14" i="11"/>
  <c r="BF13" i="11" s="1"/>
  <c r="BE13" i="11"/>
  <c r="L66" i="6"/>
  <c r="L96" i="6" s="1"/>
  <c r="BD66" i="11"/>
  <c r="BE8" i="11"/>
  <c r="BD7" i="11"/>
  <c r="S90" i="6"/>
  <c r="G91" i="6"/>
  <c r="H88" i="6" s="1"/>
  <c r="H91" i="6" s="1"/>
  <c r="I88" i="6" s="1"/>
  <c r="I91" i="6" s="1"/>
  <c r="J88" i="6" s="1"/>
  <c r="J91" i="6" s="1"/>
  <c r="K88" i="6" s="1"/>
  <c r="K91" i="6" s="1"/>
  <c r="L88" i="6" s="1"/>
  <c r="L91" i="6" s="1"/>
  <c r="M88" i="6" s="1"/>
  <c r="M91" i="6" s="1"/>
  <c r="N88" i="6" s="1"/>
  <c r="N91" i="6" s="1"/>
  <c r="O88" i="6" s="1"/>
  <c r="O91" i="6" s="1"/>
  <c r="P88" i="6" s="1"/>
  <c r="P91" i="6" s="1"/>
  <c r="Q88" i="6" s="1"/>
  <c r="Q91" i="6" s="1"/>
  <c r="R88" i="6" s="1"/>
  <c r="R91" i="6" s="1"/>
  <c r="T88" i="6" s="1"/>
  <c r="N39" i="2"/>
  <c r="BR8" i="11"/>
  <c r="BQ7" i="11"/>
  <c r="K66" i="6"/>
  <c r="K96" i="6" s="1"/>
  <c r="X75" i="7"/>
  <c r="S13" i="11"/>
  <c r="R13" i="11"/>
  <c r="BF24" i="11"/>
  <c r="BF23" i="11" s="1"/>
  <c r="BE23" i="11"/>
  <c r="BE31" i="11" s="1"/>
  <c r="BC25" i="3" s="1"/>
  <c r="T11" i="14"/>
  <c r="S10" i="14"/>
  <c r="AD7" i="11"/>
  <c r="K52" i="6"/>
  <c r="K55" i="6" s="1"/>
  <c r="I66" i="6"/>
  <c r="BX14" i="14"/>
  <c r="BW14" i="14" s="1"/>
  <c r="CE12" i="14" s="1"/>
  <c r="R8" i="11"/>
  <c r="Q7" i="11"/>
  <c r="Q17" i="11" s="1"/>
  <c r="B14" i="14"/>
  <c r="E14" i="14"/>
  <c r="M66" i="6"/>
  <c r="M96" i="6" s="1"/>
  <c r="CM11" i="14"/>
  <c r="CL10" i="14"/>
  <c r="AF16" i="11"/>
  <c r="AF15" i="11" s="1"/>
  <c r="AE15" i="11"/>
  <c r="J66" i="6"/>
  <c r="J96" i="6" s="1"/>
  <c r="O66" i="6"/>
  <c r="O96" i="6" s="1"/>
  <c r="X60" i="7"/>
  <c r="Q66" i="6"/>
  <c r="Q96" i="6" s="1"/>
  <c r="AE52" i="6"/>
  <c r="AE55" i="6" s="1"/>
  <c r="X61" i="7"/>
  <c r="O31" i="4"/>
  <c r="N17" i="2"/>
  <c r="R66" i="6"/>
  <c r="R96" i="6" s="1"/>
  <c r="P66" i="6"/>
  <c r="P96" i="6" s="1"/>
  <c r="N66" i="6"/>
  <c r="N96" i="6" s="1"/>
  <c r="H66" i="6"/>
  <c r="S24" i="11"/>
  <c r="S23" i="11" s="1"/>
  <c r="R23" i="11"/>
  <c r="R31" i="11" s="1"/>
  <c r="P25" i="3" s="1"/>
  <c r="AR8" i="11"/>
  <c r="AQ7" i="11"/>
  <c r="BP17" i="11"/>
  <c r="G66" i="6"/>
  <c r="B125" i="10"/>
  <c r="P29" i="4"/>
  <c r="AF26" i="11"/>
  <c r="AF25" i="11" s="1"/>
  <c r="AE25" i="11"/>
  <c r="AE31" i="11" s="1"/>
  <c r="AC25" i="3" s="1"/>
  <c r="BE12" i="11" l="1"/>
  <c r="BD19" i="11"/>
  <c r="BD11" i="11"/>
  <c r="BD17" i="11" s="1"/>
  <c r="BB40" i="3" s="1"/>
  <c r="BB64" i="3" s="1"/>
  <c r="AR12" i="11"/>
  <c r="AQ19" i="11"/>
  <c r="AQ11" i="11"/>
  <c r="AQ17" i="11" s="1"/>
  <c r="AO40" i="3" s="1"/>
  <c r="AE12" i="11"/>
  <c r="AD19" i="11"/>
  <c r="AD11" i="11"/>
  <c r="AD17" i="11" s="1"/>
  <c r="BR10" i="11"/>
  <c r="BQ19" i="11"/>
  <c r="BQ9" i="11"/>
  <c r="BQ17" i="11" s="1"/>
  <c r="BO40" i="3" s="1"/>
  <c r="BQ33" i="11"/>
  <c r="BR24" i="11"/>
  <c r="BQ23" i="11"/>
  <c r="BQ31" i="11" s="1"/>
  <c r="BO25" i="3" s="1"/>
  <c r="BQ66" i="11"/>
  <c r="BM25" i="3"/>
  <c r="BO63" i="11"/>
  <c r="AD61" i="11"/>
  <c r="AD49" i="11"/>
  <c r="AD59" i="11" s="1"/>
  <c r="AE50" i="11"/>
  <c r="BC63" i="11"/>
  <c r="BA64" i="3" s="1"/>
  <c r="AP59" i="11"/>
  <c r="AP63" i="11" s="1"/>
  <c r="BQ61" i="11"/>
  <c r="BQ49" i="11"/>
  <c r="BR50" i="11"/>
  <c r="AD66" i="11"/>
  <c r="BD61" i="11"/>
  <c r="BE50" i="11"/>
  <c r="BD49" i="11"/>
  <c r="BD59" i="11" s="1"/>
  <c r="AZ26" i="3"/>
  <c r="AZ27" i="3" s="1"/>
  <c r="AZ36" i="3" s="1"/>
  <c r="AZ37" i="3" s="1"/>
  <c r="P59" i="11"/>
  <c r="N26" i="3" s="1"/>
  <c r="AR50" i="11"/>
  <c r="AQ61" i="11"/>
  <c r="AQ49" i="11"/>
  <c r="AQ59" i="11" s="1"/>
  <c r="Q61" i="11"/>
  <c r="R50" i="11"/>
  <c r="Q49" i="11"/>
  <c r="R40" i="11"/>
  <c r="Q39" i="11"/>
  <c r="Q45" i="11" s="1"/>
  <c r="Q47" i="11"/>
  <c r="AR36" i="11"/>
  <c r="AQ47" i="11"/>
  <c r="AQ35" i="11"/>
  <c r="Q66" i="11"/>
  <c r="BE36" i="11"/>
  <c r="BE66" i="11" s="1"/>
  <c r="BD47" i="11"/>
  <c r="BD35" i="11"/>
  <c r="BR36" i="11"/>
  <c r="BQ47" i="11"/>
  <c r="BQ35" i="11"/>
  <c r="BQ45" i="11" s="1"/>
  <c r="AC45" i="11"/>
  <c r="AA26" i="3" s="1"/>
  <c r="AA27" i="3" s="1"/>
  <c r="AA36" i="3" s="1"/>
  <c r="AA37" i="3" s="1"/>
  <c r="AE36" i="11"/>
  <c r="AD47" i="11"/>
  <c r="AD35" i="11"/>
  <c r="AD45" i="11" s="1"/>
  <c r="AB26" i="3" s="1"/>
  <c r="AB27" i="3" s="1"/>
  <c r="AB36" i="3" s="1"/>
  <c r="AB37" i="3" s="1"/>
  <c r="AQ66" i="11"/>
  <c r="BP45" i="11"/>
  <c r="BN26" i="3" s="1"/>
  <c r="BN27" i="3" s="1"/>
  <c r="BN36" i="3" s="1"/>
  <c r="BN37" i="3" s="1"/>
  <c r="P63" i="11"/>
  <c r="S54" i="11"/>
  <c r="S53" i="11" s="1"/>
  <c r="R53" i="11"/>
  <c r="BG20" i="4"/>
  <c r="BH20" i="4"/>
  <c r="J14" i="3"/>
  <c r="J16" i="3" s="1"/>
  <c r="BG66" i="3"/>
  <c r="BG67" i="3" s="1"/>
  <c r="G14" i="3"/>
  <c r="G16" i="3" s="1"/>
  <c r="P14" i="3"/>
  <c r="P16" i="3" s="1"/>
  <c r="I14" i="3"/>
  <c r="Q14" i="3"/>
  <c r="Q16" i="3" s="1"/>
  <c r="M14" i="3"/>
  <c r="M16" i="3" s="1"/>
  <c r="L14" i="3"/>
  <c r="N14" i="3"/>
  <c r="N16" i="3" s="1"/>
  <c r="H14" i="3"/>
  <c r="H16" i="3" s="1"/>
  <c r="K14" i="3"/>
  <c r="K16" i="3" s="1"/>
  <c r="O14" i="3"/>
  <c r="BP20" i="4"/>
  <c r="BQ28" i="2"/>
  <c r="BQ20" i="4"/>
  <c r="Q59" i="11"/>
  <c r="O26" i="3" s="1"/>
  <c r="S58" i="11"/>
  <c r="S57" i="11" s="1"/>
  <c r="R57" i="11"/>
  <c r="S52" i="11"/>
  <c r="S51" i="11" s="1"/>
  <c r="R51" i="11"/>
  <c r="Y67" i="3"/>
  <c r="Y72" i="3"/>
  <c r="Y73" i="3" s="1"/>
  <c r="AA40" i="3"/>
  <c r="AA64" i="3" s="1"/>
  <c r="AA66" i="3" s="1"/>
  <c r="O40" i="3"/>
  <c r="BN40" i="3"/>
  <c r="AM67" i="3"/>
  <c r="AM72" i="3"/>
  <c r="AM73" i="3" s="1"/>
  <c r="AN64" i="3"/>
  <c r="X65" i="7"/>
  <c r="F9" i="3"/>
  <c r="X81" i="7"/>
  <c r="F10" i="3"/>
  <c r="R10" i="3" s="1"/>
  <c r="R31" i="3" s="1"/>
  <c r="L120" i="1"/>
  <c r="BJ67" i="3"/>
  <c r="BJ72" i="3"/>
  <c r="X73" i="3"/>
  <c r="AW67" i="3"/>
  <c r="AW72" i="3"/>
  <c r="Z67" i="3"/>
  <c r="Z72" i="3"/>
  <c r="BH67" i="3"/>
  <c r="BH72" i="3"/>
  <c r="O120" i="1"/>
  <c r="S66" i="3"/>
  <c r="S37" i="3"/>
  <c r="AF66" i="3"/>
  <c r="AF37" i="3"/>
  <c r="AU66" i="3"/>
  <c r="AU37" i="3"/>
  <c r="AX66" i="3"/>
  <c r="AX37" i="3"/>
  <c r="AV66" i="3"/>
  <c r="AV37" i="3"/>
  <c r="AY66" i="3"/>
  <c r="AY37" i="3"/>
  <c r="AT66" i="3"/>
  <c r="AT37" i="3"/>
  <c r="BI66" i="3"/>
  <c r="BI37" i="3"/>
  <c r="BK66" i="3"/>
  <c r="BK37" i="3"/>
  <c r="S51" i="1"/>
  <c r="S87" i="1"/>
  <c r="S73" i="1"/>
  <c r="BL66" i="3"/>
  <c r="BL37" i="3"/>
  <c r="S83" i="1"/>
  <c r="BF66" i="3"/>
  <c r="BF37" i="3"/>
  <c r="S57" i="1"/>
  <c r="S85" i="1"/>
  <c r="S78" i="1"/>
  <c r="S84" i="1"/>
  <c r="S75" i="1"/>
  <c r="S50" i="1"/>
  <c r="S72" i="1"/>
  <c r="S70" i="1"/>
  <c r="S52" i="1"/>
  <c r="S80" i="1"/>
  <c r="S81" i="1"/>
  <c r="S86" i="1"/>
  <c r="S74" i="1"/>
  <c r="S76" i="1"/>
  <c r="S53" i="1"/>
  <c r="S68" i="1"/>
  <c r="S58" i="1"/>
  <c r="S82" i="1"/>
  <c r="S69" i="1"/>
  <c r="S67" i="1"/>
  <c r="S77" i="1"/>
  <c r="J9" i="12"/>
  <c r="BG13" i="11"/>
  <c r="AS36" i="3"/>
  <c r="BI20" i="4"/>
  <c r="BJ20" i="4"/>
  <c r="BE19" i="3"/>
  <c r="BE29" i="3" s="1"/>
  <c r="K54" i="3"/>
  <c r="L47" i="3"/>
  <c r="P49" i="3"/>
  <c r="J43" i="3"/>
  <c r="G54" i="3"/>
  <c r="I56" i="1"/>
  <c r="T13" i="11"/>
  <c r="L56" i="1"/>
  <c r="R56" i="1"/>
  <c r="AG15" i="11"/>
  <c r="BU15" i="11" s="1"/>
  <c r="AG25" i="11"/>
  <c r="AF31" i="11"/>
  <c r="AD25" i="3" s="1"/>
  <c r="G68" i="6"/>
  <c r="S66" i="6"/>
  <c r="AS8" i="11"/>
  <c r="AR7" i="11"/>
  <c r="N53" i="3"/>
  <c r="N43" i="3"/>
  <c r="N49" i="3"/>
  <c r="N47" i="3"/>
  <c r="N54" i="3"/>
  <c r="O97" i="6"/>
  <c r="L54" i="3"/>
  <c r="P97" i="6"/>
  <c r="AG52" i="6"/>
  <c r="BA36" i="3"/>
  <c r="M97" i="6"/>
  <c r="L52" i="6"/>
  <c r="L55" i="6" s="1"/>
  <c r="T10" i="14"/>
  <c r="U11" i="14"/>
  <c r="BS8" i="11"/>
  <c r="BR7" i="11"/>
  <c r="O39" i="2"/>
  <c r="BF8" i="11"/>
  <c r="BE7" i="11"/>
  <c r="B126" i="10"/>
  <c r="Q29" i="4"/>
  <c r="P31" i="4"/>
  <c r="O17" i="2"/>
  <c r="H96" i="6"/>
  <c r="J97" i="6"/>
  <c r="CN11" i="14"/>
  <c r="CM10" i="14"/>
  <c r="R66" i="11"/>
  <c r="S8" i="11"/>
  <c r="R7" i="11"/>
  <c r="R17" i="11" s="1"/>
  <c r="BZ14" i="14"/>
  <c r="K97" i="6"/>
  <c r="AF88" i="6"/>
  <c r="AF91" i="6" s="1"/>
  <c r="T91" i="6"/>
  <c r="U88" i="6" s="1"/>
  <c r="U91" i="6" s="1"/>
  <c r="V88" i="6" s="1"/>
  <c r="V91" i="6" s="1"/>
  <c r="W88" i="6" s="1"/>
  <c r="W91" i="6" s="1"/>
  <c r="X88" i="6" s="1"/>
  <c r="X91" i="6" s="1"/>
  <c r="Y88" i="6" s="1"/>
  <c r="Y91" i="6" s="1"/>
  <c r="Z88" i="6" s="1"/>
  <c r="Z91" i="6" s="1"/>
  <c r="AA88" i="6" s="1"/>
  <c r="AA91" i="6" s="1"/>
  <c r="AB88" i="6" s="1"/>
  <c r="AB91" i="6" s="1"/>
  <c r="AC88" i="6" s="1"/>
  <c r="AC91" i="6" s="1"/>
  <c r="AD88" i="6" s="1"/>
  <c r="AD91" i="6" s="1"/>
  <c r="AE88" i="6" s="1"/>
  <c r="AE91" i="6" s="1"/>
  <c r="AG88" i="6" s="1"/>
  <c r="S31" i="11"/>
  <c r="Q25" i="3" s="1"/>
  <c r="R25" i="3" s="1"/>
  <c r="T23" i="11"/>
  <c r="R97" i="6"/>
  <c r="F49" i="3"/>
  <c r="D14" i="14"/>
  <c r="C14" i="14" s="1"/>
  <c r="BF31" i="11"/>
  <c r="BD25" i="3" s="1"/>
  <c r="BG23" i="11"/>
  <c r="BG31" i="11" s="1"/>
  <c r="BT90" i="6"/>
  <c r="BT91" i="6" s="1"/>
  <c r="S91" i="6"/>
  <c r="L97" i="6"/>
  <c r="N97" i="6"/>
  <c r="Q97" i="6"/>
  <c r="I96" i="6"/>
  <c r="AE66" i="11"/>
  <c r="AE7" i="11"/>
  <c r="BG75" i="6"/>
  <c r="BH71" i="6" s="1"/>
  <c r="BH75" i="6" s="1"/>
  <c r="BI71" i="6" s="1"/>
  <c r="BI75" i="6" s="1"/>
  <c r="BJ71" i="6" s="1"/>
  <c r="BJ75" i="6" s="1"/>
  <c r="BK71" i="6" s="1"/>
  <c r="BK75" i="6" s="1"/>
  <c r="BL71" i="6" s="1"/>
  <c r="BL75" i="6" s="1"/>
  <c r="BM71" i="6" s="1"/>
  <c r="BM75" i="6" s="1"/>
  <c r="BN71" i="6" s="1"/>
  <c r="BN75" i="6" s="1"/>
  <c r="BO71" i="6" s="1"/>
  <c r="BO75" i="6" s="1"/>
  <c r="BP71" i="6" s="1"/>
  <c r="BP75" i="6" s="1"/>
  <c r="BQ71" i="6" s="1"/>
  <c r="BQ75" i="6" s="1"/>
  <c r="BR71" i="6" s="1"/>
  <c r="BR75" i="6" s="1"/>
  <c r="BS71" i="6"/>
  <c r="BS75" i="6" s="1"/>
  <c r="BF12" i="11" l="1"/>
  <c r="BE19" i="11"/>
  <c r="BE11" i="11"/>
  <c r="BE17" i="11"/>
  <c r="BC40" i="3" s="1"/>
  <c r="AS12" i="11"/>
  <c r="AR19" i="11"/>
  <c r="AR11" i="11"/>
  <c r="AR17" i="11"/>
  <c r="AP40" i="3" s="1"/>
  <c r="AD63" i="11"/>
  <c r="AB40" i="3"/>
  <c r="AF12" i="11"/>
  <c r="AF66" i="11" s="1"/>
  <c r="AE19" i="11"/>
  <c r="AE11" i="11"/>
  <c r="BS10" i="11"/>
  <c r="BR19" i="11"/>
  <c r="BR9" i="11"/>
  <c r="BR17" i="11" s="1"/>
  <c r="BP40" i="3" s="1"/>
  <c r="BR33" i="11"/>
  <c r="BR23" i="11"/>
  <c r="BR31" i="11" s="1"/>
  <c r="BP25" i="3" s="1"/>
  <c r="BS24" i="11"/>
  <c r="BM27" i="3"/>
  <c r="BM36" i="3" s="1"/>
  <c r="BR66" i="11"/>
  <c r="BE61" i="11"/>
  <c r="BF50" i="11"/>
  <c r="BE49" i="11"/>
  <c r="BE59" i="11" s="1"/>
  <c r="BR61" i="11"/>
  <c r="BS50" i="11"/>
  <c r="BR49" i="11"/>
  <c r="BR59" i="11" s="1"/>
  <c r="AE61" i="11"/>
  <c r="AE49" i="11"/>
  <c r="AF50" i="11"/>
  <c r="R61" i="11"/>
  <c r="S50" i="11"/>
  <c r="S66" i="11" s="1"/>
  <c r="R49" i="11"/>
  <c r="AR61" i="11"/>
  <c r="AS50" i="11"/>
  <c r="AR49" i="11"/>
  <c r="AR59" i="11" s="1"/>
  <c r="BP63" i="11"/>
  <c r="BQ59" i="11"/>
  <c r="BQ63" i="11" s="1"/>
  <c r="AZ66" i="3"/>
  <c r="AC63" i="11"/>
  <c r="AN26" i="3"/>
  <c r="AN27" i="3" s="1"/>
  <c r="AN36" i="3" s="1"/>
  <c r="AN37" i="3" s="1"/>
  <c r="AS36" i="11"/>
  <c r="AR47" i="11"/>
  <c r="AR35" i="11"/>
  <c r="AR45" i="11" s="1"/>
  <c r="AP26" i="3" s="1"/>
  <c r="AP27" i="3" s="1"/>
  <c r="AP36" i="3" s="1"/>
  <c r="AP37" i="3" s="1"/>
  <c r="AR66" i="11"/>
  <c r="BE47" i="11"/>
  <c r="BE35" i="11"/>
  <c r="BE45" i="11" s="1"/>
  <c r="BF36" i="11"/>
  <c r="BF66" i="11" s="1"/>
  <c r="BS36" i="11"/>
  <c r="BR47" i="11"/>
  <c r="BR35" i="11"/>
  <c r="BR45" i="11" s="1"/>
  <c r="BP26" i="3" s="1"/>
  <c r="AQ45" i="11"/>
  <c r="AF36" i="11"/>
  <c r="AE47" i="11"/>
  <c r="AE35" i="11"/>
  <c r="AE45" i="11" s="1"/>
  <c r="BD45" i="11"/>
  <c r="S40" i="11"/>
  <c r="R39" i="11"/>
  <c r="R45" i="11" s="1"/>
  <c r="R47" i="11"/>
  <c r="Q63" i="11"/>
  <c r="T53" i="11"/>
  <c r="BU53" i="11" s="1"/>
  <c r="BU13" i="11"/>
  <c r="F13" i="3"/>
  <c r="F24" i="3" s="1"/>
  <c r="R24" i="3" s="1"/>
  <c r="I16" i="3"/>
  <c r="I28" i="2" s="1"/>
  <c r="J28" i="2" s="1"/>
  <c r="K28" i="2" s="1"/>
  <c r="BG72" i="3"/>
  <c r="BG73" i="3" s="1"/>
  <c r="O16" i="3"/>
  <c r="O28" i="2" s="1"/>
  <c r="P28" i="2" s="1"/>
  <c r="Q28" i="2" s="1"/>
  <c r="L16" i="3"/>
  <c r="L28" i="2" s="1"/>
  <c r="M28" i="2" s="1"/>
  <c r="N28" i="2" s="1"/>
  <c r="R27" i="1"/>
  <c r="BR20" i="4"/>
  <c r="R120" i="1" s="1"/>
  <c r="T57" i="11"/>
  <c r="BU57" i="11" s="1"/>
  <c r="R59" i="11"/>
  <c r="T51" i="11"/>
  <c r="AB64" i="3"/>
  <c r="AB66" i="3" s="1"/>
  <c r="AB72" i="3" s="1"/>
  <c r="BE25" i="3"/>
  <c r="BO64" i="3"/>
  <c r="P40" i="3"/>
  <c r="AE25" i="3"/>
  <c r="BN64" i="3"/>
  <c r="BN66" i="3" s="1"/>
  <c r="BN67" i="3" s="1"/>
  <c r="AO64" i="3"/>
  <c r="AA67" i="3"/>
  <c r="AA72" i="3"/>
  <c r="BK67" i="3"/>
  <c r="BK72" i="3"/>
  <c r="AT67" i="3"/>
  <c r="AT72" i="3"/>
  <c r="AV67" i="3"/>
  <c r="AV72" i="3"/>
  <c r="AU67" i="3"/>
  <c r="AU72" i="3"/>
  <c r="S67" i="3"/>
  <c r="S72" i="3"/>
  <c r="BL67" i="3"/>
  <c r="BL72" i="3"/>
  <c r="BF67" i="3"/>
  <c r="BF72" i="3"/>
  <c r="BI67" i="3"/>
  <c r="BI72" i="3"/>
  <c r="AY67" i="3"/>
  <c r="AY72" i="3"/>
  <c r="AX67" i="3"/>
  <c r="AX72" i="3"/>
  <c r="AF67" i="3"/>
  <c r="AF72" i="3"/>
  <c r="BH73" i="3"/>
  <c r="Z73" i="3"/>
  <c r="AW73" i="3"/>
  <c r="BJ73" i="3"/>
  <c r="O56" i="1"/>
  <c r="P56" i="1" s="1"/>
  <c r="BA66" i="3"/>
  <c r="BA37" i="3"/>
  <c r="AS66" i="3"/>
  <c r="AS37" i="3"/>
  <c r="L9" i="12"/>
  <c r="F43" i="3"/>
  <c r="F54" i="3"/>
  <c r="F47" i="3"/>
  <c r="J49" i="3"/>
  <c r="F53" i="3"/>
  <c r="L49" i="3"/>
  <c r="K49" i="3"/>
  <c r="G44" i="3"/>
  <c r="K53" i="3"/>
  <c r="K47" i="3"/>
  <c r="G43" i="3"/>
  <c r="K43" i="3"/>
  <c r="I49" i="3"/>
  <c r="I43" i="3"/>
  <c r="I54" i="3"/>
  <c r="G53" i="3"/>
  <c r="I53" i="3"/>
  <c r="I47" i="3"/>
  <c r="P54" i="3"/>
  <c r="P43" i="3"/>
  <c r="P47" i="3"/>
  <c r="L53" i="3"/>
  <c r="L43" i="3"/>
  <c r="P53" i="3"/>
  <c r="J54" i="3"/>
  <c r="H44" i="3"/>
  <c r="M44" i="3"/>
  <c r="J47" i="3"/>
  <c r="J53" i="3"/>
  <c r="G49" i="3"/>
  <c r="G47" i="3"/>
  <c r="Q44" i="3"/>
  <c r="J44" i="3"/>
  <c r="K12" i="14"/>
  <c r="I34" i="4" s="1"/>
  <c r="I38" i="4" s="1"/>
  <c r="F14" i="14"/>
  <c r="B15" i="14" s="1"/>
  <c r="K44" i="3"/>
  <c r="L59" i="1"/>
  <c r="M56" i="1"/>
  <c r="S56" i="1"/>
  <c r="R59" i="1"/>
  <c r="J56" i="1"/>
  <c r="I59" i="1"/>
  <c r="W16" i="8"/>
  <c r="BX16" i="8" s="1"/>
  <c r="W12" i="8"/>
  <c r="BX12" i="8" s="1"/>
  <c r="W14" i="8"/>
  <c r="BX14" i="8" s="1"/>
  <c r="W17" i="8"/>
  <c r="BX17" i="8" s="1"/>
  <c r="W15" i="8"/>
  <c r="BX15" i="8" s="1"/>
  <c r="W13" i="8"/>
  <c r="BX13" i="8" s="1"/>
  <c r="W11" i="8"/>
  <c r="BX11" i="8" s="1"/>
  <c r="W18" i="8"/>
  <c r="BX18" i="8" s="1"/>
  <c r="W19" i="8"/>
  <c r="BX19" i="8" s="1"/>
  <c r="K13" i="14"/>
  <c r="H76" i="3" s="1"/>
  <c r="CO11" i="14"/>
  <c r="CN10" i="14"/>
  <c r="B129" i="10"/>
  <c r="H49" i="3"/>
  <c r="H47" i="3"/>
  <c r="H43" i="3"/>
  <c r="H53" i="3"/>
  <c r="H54" i="3"/>
  <c r="R9" i="3"/>
  <c r="BT66" i="6"/>
  <c r="BT68" i="6" s="1"/>
  <c r="S68" i="6"/>
  <c r="M54" i="3"/>
  <c r="M47" i="3"/>
  <c r="M53" i="3"/>
  <c r="M43" i="3"/>
  <c r="M49" i="3"/>
  <c r="AS88" i="6"/>
  <c r="AS91" i="6" s="1"/>
  <c r="AG91" i="6"/>
  <c r="AH88" i="6" s="1"/>
  <c r="AH91" i="6" s="1"/>
  <c r="AI88" i="6" s="1"/>
  <c r="AI91" i="6" s="1"/>
  <c r="AJ88" i="6" s="1"/>
  <c r="AJ91" i="6" s="1"/>
  <c r="AK88" i="6" s="1"/>
  <c r="AK91" i="6" s="1"/>
  <c r="AL88" i="6" s="1"/>
  <c r="AL91" i="6" s="1"/>
  <c r="AM88" i="6" s="1"/>
  <c r="AM91" i="6" s="1"/>
  <c r="AN88" i="6" s="1"/>
  <c r="AN91" i="6" s="1"/>
  <c r="AO88" i="6" s="1"/>
  <c r="AO91" i="6" s="1"/>
  <c r="AP88" i="6" s="1"/>
  <c r="AP91" i="6" s="1"/>
  <c r="AQ88" i="6" s="1"/>
  <c r="AQ91" i="6" s="1"/>
  <c r="AR88" i="6" s="1"/>
  <c r="AR91" i="6" s="1"/>
  <c r="AT88" i="6" s="1"/>
  <c r="S7" i="11"/>
  <c r="S96" i="6"/>
  <c r="H97" i="6"/>
  <c r="BF7" i="11"/>
  <c r="H64" i="6"/>
  <c r="G101" i="6"/>
  <c r="O53" i="3"/>
  <c r="O49" i="3"/>
  <c r="O54" i="3"/>
  <c r="O47" i="3"/>
  <c r="O43" i="3"/>
  <c r="AE17" i="11"/>
  <c r="F12" i="1"/>
  <c r="P44" i="3"/>
  <c r="N44" i="3"/>
  <c r="W10" i="8"/>
  <c r="BS7" i="11"/>
  <c r="AS7" i="11"/>
  <c r="I11" i="1"/>
  <c r="I97" i="6"/>
  <c r="AF7" i="11"/>
  <c r="I121" i="1"/>
  <c r="T31" i="11"/>
  <c r="BY15" i="14"/>
  <c r="BV15" i="14"/>
  <c r="Q31" i="4"/>
  <c r="P17" i="2"/>
  <c r="P39" i="2"/>
  <c r="V11" i="14"/>
  <c r="U10" i="14"/>
  <c r="M52" i="6"/>
  <c r="M55" i="6" s="1"/>
  <c r="AG55" i="6"/>
  <c r="AS52" i="6"/>
  <c r="AS55" i="6" s="1"/>
  <c r="AU52" i="6" s="1"/>
  <c r="AU55" i="6" s="1"/>
  <c r="BU25" i="11"/>
  <c r="AG31" i="11"/>
  <c r="BF19" i="11" l="1"/>
  <c r="BF11" i="11"/>
  <c r="BG11" i="11" s="1"/>
  <c r="AS19" i="11"/>
  <c r="AS11" i="11"/>
  <c r="AT11" i="11" s="1"/>
  <c r="AF19" i="11"/>
  <c r="AF11" i="11"/>
  <c r="AG11" i="11" s="1"/>
  <c r="AF17" i="11"/>
  <c r="BS19" i="11"/>
  <c r="BS9" i="11"/>
  <c r="BT9" i="11" s="1"/>
  <c r="BU9" i="11" s="1"/>
  <c r="BS23" i="11"/>
  <c r="BS33" i="11"/>
  <c r="BP27" i="3"/>
  <c r="BP36" i="3" s="1"/>
  <c r="BP37" i="3" s="1"/>
  <c r="BM66" i="3"/>
  <c r="BM37" i="3"/>
  <c r="BR63" i="11"/>
  <c r="AR63" i="11"/>
  <c r="R63" i="11"/>
  <c r="BC26" i="3"/>
  <c r="BC27" i="3" s="1"/>
  <c r="BC36" i="3" s="1"/>
  <c r="BC37" i="3" s="1"/>
  <c r="BO26" i="3"/>
  <c r="BO27" i="3" s="1"/>
  <c r="BO36" i="3" s="1"/>
  <c r="BO37" i="3" s="1"/>
  <c r="AN66" i="3"/>
  <c r="BF49" i="11"/>
  <c r="BF59" i="11" s="1"/>
  <c r="BF61" i="11"/>
  <c r="BO66" i="3"/>
  <c r="BO67" i="3" s="1"/>
  <c r="AS49" i="11"/>
  <c r="AS61" i="11"/>
  <c r="BE63" i="11"/>
  <c r="AZ67" i="3"/>
  <c r="AZ72" i="3"/>
  <c r="AZ73" i="3" s="1"/>
  <c r="AF49" i="11"/>
  <c r="AF59" i="11" s="1"/>
  <c r="AF61" i="11"/>
  <c r="BS49" i="11"/>
  <c r="BS61" i="11"/>
  <c r="AS66" i="11"/>
  <c r="S49" i="11"/>
  <c r="S59" i="11" s="1"/>
  <c r="S61" i="11"/>
  <c r="AE59" i="11"/>
  <c r="AC26" i="3" s="1"/>
  <c r="AC27" i="3" s="1"/>
  <c r="AC36" i="3" s="1"/>
  <c r="AC37" i="3" s="1"/>
  <c r="AG49" i="11"/>
  <c r="AG59" i="11" s="1"/>
  <c r="BS47" i="11"/>
  <c r="BS35" i="11"/>
  <c r="S39" i="11"/>
  <c r="S47" i="11"/>
  <c r="AO26" i="3"/>
  <c r="AQ63" i="11"/>
  <c r="P26" i="3"/>
  <c r="AF35" i="11"/>
  <c r="AF45" i="11" s="1"/>
  <c r="AF47" i="11"/>
  <c r="BS66" i="11"/>
  <c r="BB26" i="3"/>
  <c r="BD63" i="11"/>
  <c r="BF35" i="11"/>
  <c r="BF47" i="11"/>
  <c r="AS47" i="11"/>
  <c r="AS35" i="11"/>
  <c r="O44" i="3"/>
  <c r="O64" i="3" s="1"/>
  <c r="L44" i="3"/>
  <c r="F14" i="3"/>
  <c r="O59" i="1"/>
  <c r="P59" i="1" s="1"/>
  <c r="AB67" i="3"/>
  <c r="BU51" i="11"/>
  <c r="BN72" i="3"/>
  <c r="BN73" i="3" s="1"/>
  <c r="BP64" i="3"/>
  <c r="AP64" i="3"/>
  <c r="AP66" i="3" s="1"/>
  <c r="BC64" i="3"/>
  <c r="BC66" i="3" s="1"/>
  <c r="AD40" i="3"/>
  <c r="AC40" i="3"/>
  <c r="AC64" i="3" s="1"/>
  <c r="AS67" i="3"/>
  <c r="AS72" i="3"/>
  <c r="AX73" i="3"/>
  <c r="BI73" i="3"/>
  <c r="BF73" i="3"/>
  <c r="BL73" i="3"/>
  <c r="AU73" i="3"/>
  <c r="AT73" i="3"/>
  <c r="AB73" i="3"/>
  <c r="BA67" i="3"/>
  <c r="BA72" i="3"/>
  <c r="AF73" i="3"/>
  <c r="AY73" i="3"/>
  <c r="S73" i="3"/>
  <c r="AV73" i="3"/>
  <c r="BK73" i="3"/>
  <c r="AA73" i="3"/>
  <c r="W23" i="8"/>
  <c r="G104" i="6" s="1"/>
  <c r="K64" i="3"/>
  <c r="L64" i="3"/>
  <c r="N20" i="4"/>
  <c r="G64" i="3"/>
  <c r="J64" i="3"/>
  <c r="E15" i="14"/>
  <c r="D15" i="14" s="1"/>
  <c r="C15" i="14" s="1"/>
  <c r="H33" i="2"/>
  <c r="H34" i="2" s="1"/>
  <c r="H77" i="3"/>
  <c r="J59" i="1"/>
  <c r="S59" i="1"/>
  <c r="M59" i="1"/>
  <c r="AG7" i="11"/>
  <c r="AG17" i="11" s="1"/>
  <c r="J27" i="3"/>
  <c r="N64" i="3"/>
  <c r="P64" i="3"/>
  <c r="AW52" i="6"/>
  <c r="AW55" i="6" s="1"/>
  <c r="BX15" i="14"/>
  <c r="BW15" i="14" s="1"/>
  <c r="CF12" i="14" s="1"/>
  <c r="R13" i="3"/>
  <c r="AI52" i="6"/>
  <c r="AI55" i="6" s="1"/>
  <c r="N52" i="6"/>
  <c r="N55" i="6" s="1"/>
  <c r="V10" i="14"/>
  <c r="W11" i="14"/>
  <c r="G102" i="6"/>
  <c r="BT96" i="6"/>
  <c r="S97" i="6"/>
  <c r="BT97" i="6" s="1"/>
  <c r="I44" i="3"/>
  <c r="K27" i="3"/>
  <c r="H68" i="6"/>
  <c r="BF17" i="11"/>
  <c r="BG7" i="11"/>
  <c r="AT91" i="6"/>
  <c r="AU88" i="6" s="1"/>
  <c r="AU91" i="6" s="1"/>
  <c r="AV88" i="6" s="1"/>
  <c r="AV91" i="6" s="1"/>
  <c r="AW88" i="6" s="1"/>
  <c r="AW91" i="6" s="1"/>
  <c r="AX88" i="6" s="1"/>
  <c r="AX91" i="6" s="1"/>
  <c r="AY88" i="6" s="1"/>
  <c r="AY91" i="6" s="1"/>
  <c r="AZ88" i="6" s="1"/>
  <c r="AZ91" i="6" s="1"/>
  <c r="BA88" i="6" s="1"/>
  <c r="BA91" i="6" s="1"/>
  <c r="BB88" i="6" s="1"/>
  <c r="BB91" i="6" s="1"/>
  <c r="BC88" i="6" s="1"/>
  <c r="BC91" i="6" s="1"/>
  <c r="BD88" i="6" s="1"/>
  <c r="BD91" i="6" s="1"/>
  <c r="BE88" i="6" s="1"/>
  <c r="BE91" i="6" s="1"/>
  <c r="BG88" i="6" s="1"/>
  <c r="BF88" i="6"/>
  <c r="BF91" i="6" s="1"/>
  <c r="BS17" i="11"/>
  <c r="BT7" i="11"/>
  <c r="BT17" i="11" s="1"/>
  <c r="L27" i="3"/>
  <c r="Q39" i="2"/>
  <c r="O11" i="1"/>
  <c r="AT7" i="11"/>
  <c r="BX10" i="8"/>
  <c r="O27" i="3"/>
  <c r="M64" i="3"/>
  <c r="R61" i="3"/>
  <c r="R59" i="3"/>
  <c r="Q54" i="3"/>
  <c r="R54" i="3" s="1"/>
  <c r="BS9" i="3"/>
  <c r="Q49" i="3"/>
  <c r="R49" i="3" s="1"/>
  <c r="Q47" i="3"/>
  <c r="R47" i="3" s="1"/>
  <c r="F51" i="1"/>
  <c r="Q53" i="3"/>
  <c r="R53" i="3" s="1"/>
  <c r="Q43" i="3"/>
  <c r="R43" i="3" s="1"/>
  <c r="H64" i="3"/>
  <c r="R29" i="4"/>
  <c r="C127" i="10"/>
  <c r="CP11" i="14"/>
  <c r="CO10" i="14"/>
  <c r="S17" i="11"/>
  <c r="T7" i="11"/>
  <c r="B130" i="10"/>
  <c r="BG17" i="11" l="1"/>
  <c r="AT17" i="11"/>
  <c r="BU11" i="11"/>
  <c r="AS17" i="11"/>
  <c r="AQ40" i="3" s="1"/>
  <c r="AR40" i="3" s="1"/>
  <c r="BO72" i="3"/>
  <c r="BO73" i="3" s="1"/>
  <c r="BM67" i="3"/>
  <c r="BM72" i="3"/>
  <c r="BM73" i="3" s="1"/>
  <c r="BP66" i="3"/>
  <c r="BP72" i="3" s="1"/>
  <c r="BP73" i="3" s="1"/>
  <c r="BS31" i="11"/>
  <c r="BQ25" i="3" s="1"/>
  <c r="BR25" i="3" s="1"/>
  <c r="BT23" i="11"/>
  <c r="AC66" i="3"/>
  <c r="AC67" i="3" s="1"/>
  <c r="AE63" i="11"/>
  <c r="AD26" i="3"/>
  <c r="AD27" i="3" s="1"/>
  <c r="AD36" i="3" s="1"/>
  <c r="AD37" i="3" s="1"/>
  <c r="BG49" i="11"/>
  <c r="BG59" i="11" s="1"/>
  <c r="AN72" i="3"/>
  <c r="AN73" i="3" s="1"/>
  <c r="AN67" i="3"/>
  <c r="T49" i="11"/>
  <c r="AF63" i="11"/>
  <c r="BS59" i="11"/>
  <c r="BT49" i="11"/>
  <c r="BT59" i="11" s="1"/>
  <c r="AS59" i="11"/>
  <c r="AT49" i="11"/>
  <c r="AT59" i="11" s="1"/>
  <c r="BF45" i="11"/>
  <c r="BD26" i="3" s="1"/>
  <c r="BD27" i="3" s="1"/>
  <c r="BD36" i="3" s="1"/>
  <c r="BD37" i="3" s="1"/>
  <c r="BG35" i="11"/>
  <c r="BG45" i="11" s="1"/>
  <c r="AO27" i="3"/>
  <c r="AO36" i="3" s="1"/>
  <c r="AS45" i="11"/>
  <c r="AT35" i="11"/>
  <c r="AT45" i="11" s="1"/>
  <c r="BB27" i="3"/>
  <c r="BB36" i="3" s="1"/>
  <c r="BE26" i="3"/>
  <c r="BE27" i="3" s="1"/>
  <c r="AE26" i="3"/>
  <c r="AE27" i="3" s="1"/>
  <c r="BS45" i="11"/>
  <c r="BQ26" i="3" s="1"/>
  <c r="BT35" i="11"/>
  <c r="BT45" i="11" s="1"/>
  <c r="AG35" i="11"/>
  <c r="S45" i="11"/>
  <c r="Q26" i="3" s="1"/>
  <c r="Q27" i="3" s="1"/>
  <c r="T39" i="11"/>
  <c r="R34" i="3"/>
  <c r="R14" i="3"/>
  <c r="R16" i="3" s="1"/>
  <c r="C9" i="12" s="1"/>
  <c r="F16" i="3"/>
  <c r="F28" i="2" s="1"/>
  <c r="G28" i="2" s="1"/>
  <c r="H28" i="2" s="1"/>
  <c r="AE40" i="3"/>
  <c r="AE64" i="3" s="1"/>
  <c r="BP67" i="3"/>
  <c r="S63" i="11"/>
  <c r="Q40" i="3"/>
  <c r="R40" i="3" s="1"/>
  <c r="AD64" i="3"/>
  <c r="AP67" i="3"/>
  <c r="AP72" i="3"/>
  <c r="AP73" i="3" s="1"/>
  <c r="BF63" i="11"/>
  <c r="BD40" i="3"/>
  <c r="BE40" i="3" s="1"/>
  <c r="BQ40" i="3"/>
  <c r="BR40" i="3" s="1"/>
  <c r="BC67" i="3"/>
  <c r="BC72" i="3"/>
  <c r="BA73" i="3"/>
  <c r="AS73" i="3"/>
  <c r="BX23" i="8"/>
  <c r="P20" i="4"/>
  <c r="F121" i="1"/>
  <c r="BS53" i="3"/>
  <c r="F77" i="1"/>
  <c r="BS47" i="3"/>
  <c r="F71" i="1"/>
  <c r="L12" i="14"/>
  <c r="J34" i="4" s="1"/>
  <c r="F15" i="14"/>
  <c r="G105" i="6"/>
  <c r="BS54" i="3"/>
  <c r="F78" i="1"/>
  <c r="BS49" i="3"/>
  <c r="F73" i="1"/>
  <c r="F85" i="1"/>
  <c r="BS61" i="3"/>
  <c r="L36" i="3"/>
  <c r="Q36" i="3"/>
  <c r="F11" i="1"/>
  <c r="CQ11" i="14"/>
  <c r="CP10" i="14"/>
  <c r="BS59" i="3"/>
  <c r="F83" i="1"/>
  <c r="Q20" i="4"/>
  <c r="X11" i="14"/>
  <c r="W10" i="14"/>
  <c r="O52" i="6"/>
  <c r="O55" i="6" s="1"/>
  <c r="AY52" i="6"/>
  <c r="AY55" i="6" s="1"/>
  <c r="B131" i="10"/>
  <c r="U29" i="4"/>
  <c r="J36" i="3"/>
  <c r="L13" i="14"/>
  <c r="I76" i="3" s="1"/>
  <c r="F38" i="1"/>
  <c r="S39" i="2"/>
  <c r="F27" i="3"/>
  <c r="I64" i="3"/>
  <c r="F52" i="1"/>
  <c r="F53" i="1" s="1"/>
  <c r="BS13" i="3"/>
  <c r="BS16" i="3" s="1"/>
  <c r="BZ15" i="14"/>
  <c r="K20" i="4"/>
  <c r="T29" i="4"/>
  <c r="Q17" i="2"/>
  <c r="F16" i="1" s="1"/>
  <c r="R31" i="4"/>
  <c r="F126" i="1"/>
  <c r="F128" i="1" s="1"/>
  <c r="O36" i="3"/>
  <c r="I64" i="6"/>
  <c r="H101" i="6"/>
  <c r="BS43" i="3"/>
  <c r="F67" i="1"/>
  <c r="T17" i="11"/>
  <c r="BU7" i="11"/>
  <c r="BU17" i="11" s="1"/>
  <c r="BG91" i="6"/>
  <c r="BH88" i="6" s="1"/>
  <c r="BH91" i="6" s="1"/>
  <c r="BI88" i="6" s="1"/>
  <c r="BI91" i="6" s="1"/>
  <c r="BJ88" i="6" s="1"/>
  <c r="BJ91" i="6" s="1"/>
  <c r="BK88" i="6" s="1"/>
  <c r="BK91" i="6" s="1"/>
  <c r="BL88" i="6" s="1"/>
  <c r="BL91" i="6" s="1"/>
  <c r="BM88" i="6" s="1"/>
  <c r="BM91" i="6" s="1"/>
  <c r="BN88" i="6" s="1"/>
  <c r="BN91" i="6" s="1"/>
  <c r="BO88" i="6" s="1"/>
  <c r="BO91" i="6" s="1"/>
  <c r="BP88" i="6" s="1"/>
  <c r="BP91" i="6" s="1"/>
  <c r="BQ88" i="6" s="1"/>
  <c r="BQ91" i="6" s="1"/>
  <c r="BR88" i="6" s="1"/>
  <c r="BR91" i="6" s="1"/>
  <c r="BS88" i="6"/>
  <c r="BS91" i="6" s="1"/>
  <c r="K36" i="3"/>
  <c r="AK52" i="6"/>
  <c r="AK55" i="6" s="1"/>
  <c r="AS63" i="11" l="1"/>
  <c r="AC72" i="3"/>
  <c r="BS63" i="11"/>
  <c r="BT31" i="11"/>
  <c r="BT63" i="11" s="1"/>
  <c r="BU23" i="11"/>
  <c r="BU31" i="11" s="1"/>
  <c r="BG63" i="11"/>
  <c r="AD66" i="3"/>
  <c r="AD67" i="3" s="1"/>
  <c r="AT63" i="11"/>
  <c r="BU49" i="11"/>
  <c r="BU59" i="11" s="1"/>
  <c r="T59" i="11"/>
  <c r="AQ26" i="3"/>
  <c r="AQ27" i="3" s="1"/>
  <c r="AQ36" i="3" s="1"/>
  <c r="AQ37" i="3" s="1"/>
  <c r="BQ27" i="3"/>
  <c r="BQ36" i="3" s="1"/>
  <c r="BQ37" i="3" s="1"/>
  <c r="BR26" i="3"/>
  <c r="BR27" i="3" s="1"/>
  <c r="BB37" i="3"/>
  <c r="BB66" i="3"/>
  <c r="BU39" i="11"/>
  <c r="T45" i="11"/>
  <c r="T63" i="11" s="1"/>
  <c r="I10" i="12"/>
  <c r="BE36" i="3"/>
  <c r="AG45" i="11"/>
  <c r="AG63" i="11" s="1"/>
  <c r="BU35" i="11"/>
  <c r="AO37" i="3"/>
  <c r="AO66" i="3"/>
  <c r="E10" i="12"/>
  <c r="AE36" i="3"/>
  <c r="R26" i="3"/>
  <c r="AR26" i="3"/>
  <c r="AR27" i="3" s="1"/>
  <c r="C50" i="18"/>
  <c r="G20" i="4"/>
  <c r="F44" i="3"/>
  <c r="F64" i="3" s="1"/>
  <c r="G25" i="2" s="1"/>
  <c r="I65" i="1"/>
  <c r="I88" i="1" s="1"/>
  <c r="Q64" i="3"/>
  <c r="Q66" i="3" s="1"/>
  <c r="Q72" i="3" s="1"/>
  <c r="AQ64" i="3"/>
  <c r="BQ64" i="3"/>
  <c r="BD64" i="3"/>
  <c r="BD66" i="3" s="1"/>
  <c r="BD67" i="3" s="1"/>
  <c r="AD72" i="3"/>
  <c r="AD73" i="3" s="1"/>
  <c r="AE66" i="3"/>
  <c r="AE72" i="3" s="1"/>
  <c r="AE73" i="3" s="1"/>
  <c r="E12" i="12"/>
  <c r="BC73" i="3"/>
  <c r="AC73" i="3"/>
  <c r="O20" i="4"/>
  <c r="M27" i="3"/>
  <c r="M36" i="3" s="1"/>
  <c r="N27" i="3"/>
  <c r="N36" i="3" s="1"/>
  <c r="N66" i="3" s="1"/>
  <c r="N72" i="3" s="1"/>
  <c r="I27" i="3"/>
  <c r="I36" i="3" s="1"/>
  <c r="I37" i="3" s="1"/>
  <c r="P27" i="3"/>
  <c r="P36" i="3" s="1"/>
  <c r="P66" i="3" s="1"/>
  <c r="P72" i="3" s="1"/>
  <c r="AM52" i="6"/>
  <c r="AM55" i="6" s="1"/>
  <c r="BR64" i="3"/>
  <c r="R65" i="1"/>
  <c r="AR64" i="3"/>
  <c r="L65" i="1"/>
  <c r="K66" i="3"/>
  <c r="K72" i="3" s="1"/>
  <c r="K37" i="3"/>
  <c r="H102" i="6"/>
  <c r="H104" i="6"/>
  <c r="O66" i="3"/>
  <c r="O72" i="3" s="1"/>
  <c r="O37" i="3"/>
  <c r="T31" i="4"/>
  <c r="S17" i="2"/>
  <c r="T17" i="2" s="1"/>
  <c r="BV16" i="14"/>
  <c r="BY16" i="14"/>
  <c r="G14" i="4"/>
  <c r="J66" i="3"/>
  <c r="J72" i="3" s="1"/>
  <c r="J37" i="3"/>
  <c r="BA52" i="6"/>
  <c r="BA55" i="6" s="1"/>
  <c r="F36" i="3"/>
  <c r="G83" i="1"/>
  <c r="Q37" i="3"/>
  <c r="L66" i="3"/>
  <c r="L72" i="3" s="1"/>
  <c r="L37" i="3"/>
  <c r="G73" i="1"/>
  <c r="G71" i="1"/>
  <c r="U31" i="4"/>
  <c r="G53" i="1"/>
  <c r="G81" i="1"/>
  <c r="G72" i="1"/>
  <c r="G80" i="1"/>
  <c r="G75" i="1"/>
  <c r="G82" i="1"/>
  <c r="G70" i="1"/>
  <c r="G74" i="1"/>
  <c r="G76" i="1"/>
  <c r="G86" i="1"/>
  <c r="G50" i="1"/>
  <c r="G84" i="1"/>
  <c r="G87" i="1"/>
  <c r="G69" i="1"/>
  <c r="P52" i="6"/>
  <c r="P55" i="6" s="1"/>
  <c r="F65" i="1"/>
  <c r="BS40" i="3"/>
  <c r="I68" i="6"/>
  <c r="T39" i="2"/>
  <c r="BE64" i="3"/>
  <c r="O65" i="1"/>
  <c r="H20" i="4"/>
  <c r="G67" i="1"/>
  <c r="L20" i="4"/>
  <c r="M20" i="4"/>
  <c r="G52" i="1"/>
  <c r="B132" i="10"/>
  <c r="G51" i="1"/>
  <c r="Y11" i="14"/>
  <c r="X10" i="14"/>
  <c r="CR11" i="14"/>
  <c r="CQ10" i="14"/>
  <c r="G78" i="1"/>
  <c r="B16" i="14"/>
  <c r="E16" i="14"/>
  <c r="G77" i="1"/>
  <c r="BS24" i="3"/>
  <c r="F58" i="1"/>
  <c r="G58" i="1" s="1"/>
  <c r="R20" i="4"/>
  <c r="F27" i="1"/>
  <c r="T20" i="4"/>
  <c r="I120" i="1" s="1"/>
  <c r="G85" i="1"/>
  <c r="I33" i="2"/>
  <c r="I34" i="2" s="1"/>
  <c r="J38" i="4"/>
  <c r="AQ66" i="3" l="1"/>
  <c r="AQ67" i="3" s="1"/>
  <c r="BQ66" i="3"/>
  <c r="BQ67" i="3" s="1"/>
  <c r="BU45" i="11"/>
  <c r="BU63" i="11" s="1"/>
  <c r="I61" i="1"/>
  <c r="J61" i="1" s="1"/>
  <c r="AE37" i="3"/>
  <c r="BB67" i="3"/>
  <c r="BB72" i="3"/>
  <c r="BB73" i="3" s="1"/>
  <c r="F10" i="12"/>
  <c r="E11" i="12"/>
  <c r="F11" i="12" s="1"/>
  <c r="I11" i="12"/>
  <c r="J11" i="12" s="1"/>
  <c r="J10" i="12"/>
  <c r="G10" i="12"/>
  <c r="AR36" i="3"/>
  <c r="AR66" i="3" s="1"/>
  <c r="AR67" i="3" s="1"/>
  <c r="BR36" i="3"/>
  <c r="BR66" i="3" s="1"/>
  <c r="BR67" i="3" s="1"/>
  <c r="K10" i="12"/>
  <c r="BE37" i="3"/>
  <c r="O61" i="1"/>
  <c r="P61" i="1" s="1"/>
  <c r="AO67" i="3"/>
  <c r="AO72" i="3"/>
  <c r="AO73" i="3" s="1"/>
  <c r="J65" i="1"/>
  <c r="R44" i="3"/>
  <c r="R64" i="3" s="1"/>
  <c r="C12" i="12" s="1"/>
  <c r="F25" i="2"/>
  <c r="G17" i="4" s="1"/>
  <c r="BQ72" i="3"/>
  <c r="BQ73" i="3" s="1"/>
  <c r="BD72" i="3"/>
  <c r="BD73" i="3" s="1"/>
  <c r="AE67" i="3"/>
  <c r="BE66" i="3"/>
  <c r="BE67" i="3" s="1"/>
  <c r="I12" i="12"/>
  <c r="K12" i="12"/>
  <c r="G12" i="12"/>
  <c r="Q73" i="3"/>
  <c r="J73" i="3"/>
  <c r="P73" i="3"/>
  <c r="N73" i="3"/>
  <c r="L73" i="3"/>
  <c r="O73" i="3"/>
  <c r="K73" i="3"/>
  <c r="M37" i="3"/>
  <c r="M66" i="3"/>
  <c r="M72" i="3" s="1"/>
  <c r="P37" i="3"/>
  <c r="N37" i="3"/>
  <c r="I66" i="3"/>
  <c r="I72" i="3" s="1"/>
  <c r="V29" i="4"/>
  <c r="J88" i="1"/>
  <c r="L67" i="3"/>
  <c r="BC52" i="6"/>
  <c r="BC55" i="6" s="1"/>
  <c r="AO52" i="6"/>
  <c r="AO55" i="6" s="1"/>
  <c r="N67" i="3"/>
  <c r="P65" i="1"/>
  <c r="O88" i="1"/>
  <c r="G65" i="1"/>
  <c r="J67" i="3"/>
  <c r="F66" i="3"/>
  <c r="F72" i="3" s="1"/>
  <c r="F79" i="3" s="1"/>
  <c r="F37" i="3"/>
  <c r="O67" i="3"/>
  <c r="S65" i="1"/>
  <c r="R88" i="1"/>
  <c r="CR10" i="14"/>
  <c r="CS11" i="14"/>
  <c r="I77" i="3"/>
  <c r="U39" i="2"/>
  <c r="G27" i="3"/>
  <c r="Q52" i="6"/>
  <c r="Q55" i="6" s="1"/>
  <c r="D9" i="12"/>
  <c r="Q67" i="3"/>
  <c r="K67" i="3"/>
  <c r="D16" i="14"/>
  <c r="Z11" i="14"/>
  <c r="Y10" i="14"/>
  <c r="B133" i="10"/>
  <c r="W29" i="4"/>
  <c r="I20" i="4"/>
  <c r="J20" i="4"/>
  <c r="J64" i="6"/>
  <c r="J68" i="6" s="1"/>
  <c r="I101" i="6"/>
  <c r="P67" i="3"/>
  <c r="BX16" i="14"/>
  <c r="BW16" i="14" s="1"/>
  <c r="H105" i="6"/>
  <c r="M65" i="1"/>
  <c r="L88" i="1"/>
  <c r="AQ72" i="3" l="1"/>
  <c r="AQ73" i="3" s="1"/>
  <c r="I90" i="1"/>
  <c r="L10" i="12"/>
  <c r="K11" i="12"/>
  <c r="L11" i="12" s="1"/>
  <c r="R61" i="1"/>
  <c r="S61" i="1" s="1"/>
  <c r="BR37" i="3"/>
  <c r="AR37" i="3"/>
  <c r="L61" i="1"/>
  <c r="M61" i="1" s="1"/>
  <c r="G11" i="12"/>
  <c r="H11" i="12" s="1"/>
  <c r="H10" i="12"/>
  <c r="F68" i="1"/>
  <c r="G68" i="1" s="1"/>
  <c r="BS44" i="3"/>
  <c r="BS64" i="3" s="1"/>
  <c r="I79" i="3"/>
  <c r="AR72" i="3"/>
  <c r="AR73" i="3" s="1"/>
  <c r="BE72" i="3"/>
  <c r="BE73" i="3" s="1"/>
  <c r="BR72" i="3"/>
  <c r="BR73" i="3" s="1"/>
  <c r="M73" i="3"/>
  <c r="F73" i="3"/>
  <c r="M67" i="3"/>
  <c r="I67" i="3"/>
  <c r="F30" i="2"/>
  <c r="F36" i="2" s="1"/>
  <c r="CG12" i="14"/>
  <c r="BZ16" i="14"/>
  <c r="M88" i="1"/>
  <c r="L90" i="1"/>
  <c r="CT11" i="14"/>
  <c r="CS10" i="14"/>
  <c r="W31" i="4"/>
  <c r="AA11" i="14"/>
  <c r="Z10" i="14"/>
  <c r="V39" i="2"/>
  <c r="F67" i="3"/>
  <c r="BE52" i="6"/>
  <c r="BE55" i="6" s="1"/>
  <c r="F120" i="1"/>
  <c r="M13" i="14"/>
  <c r="J76" i="3" s="1"/>
  <c r="K64" i="6"/>
  <c r="K68" i="6" s="1"/>
  <c r="J101" i="6"/>
  <c r="X29" i="4"/>
  <c r="B134" i="10"/>
  <c r="R52" i="6"/>
  <c r="R55" i="6" s="1"/>
  <c r="J90" i="1"/>
  <c r="V31" i="4"/>
  <c r="U17" i="2"/>
  <c r="V17" i="2" s="1"/>
  <c r="I104" i="6"/>
  <c r="I102" i="6"/>
  <c r="S88" i="1"/>
  <c r="P88" i="1"/>
  <c r="O90" i="1"/>
  <c r="AQ52" i="6"/>
  <c r="AQ55" i="6" s="1"/>
  <c r="C16" i="14"/>
  <c r="R90" i="1" l="1"/>
  <c r="F88" i="1"/>
  <c r="G88" i="1" s="1"/>
  <c r="I73" i="3"/>
  <c r="J77" i="3"/>
  <c r="J79" i="3" s="1"/>
  <c r="G30" i="2"/>
  <c r="G36" i="2" s="1"/>
  <c r="H17" i="4"/>
  <c r="J104" i="6"/>
  <c r="J105" i="6" s="1"/>
  <c r="J102" i="6"/>
  <c r="W39" i="2"/>
  <c r="BY17" i="14"/>
  <c r="BV17" i="14"/>
  <c r="G36" i="3"/>
  <c r="B135" i="10"/>
  <c r="L64" i="6"/>
  <c r="L68" i="6" s="1"/>
  <c r="K101" i="6"/>
  <c r="P90" i="1"/>
  <c r="S90" i="1"/>
  <c r="T52" i="6"/>
  <c r="X31" i="4"/>
  <c r="W17" i="2"/>
  <c r="AB11" i="14"/>
  <c r="AA10" i="14"/>
  <c r="CU11" i="14"/>
  <c r="CT10" i="14"/>
  <c r="H14" i="4"/>
  <c r="M12" i="14"/>
  <c r="K34" i="4" s="1"/>
  <c r="F16" i="14"/>
  <c r="I105" i="6"/>
  <c r="BG52" i="6"/>
  <c r="M90" i="1"/>
  <c r="H27" i="3"/>
  <c r="B17" i="14" l="1"/>
  <c r="E17" i="14"/>
  <c r="CV11" i="14"/>
  <c r="CU10" i="14"/>
  <c r="R20" i="3"/>
  <c r="R30" i="3" s="1"/>
  <c r="M64" i="6"/>
  <c r="M68" i="6" s="1"/>
  <c r="L101" i="6"/>
  <c r="I25" i="2"/>
  <c r="R19" i="3"/>
  <c r="R29" i="3" s="1"/>
  <c r="Y29" i="4"/>
  <c r="X39" i="2"/>
  <c r="AB10" i="14"/>
  <c r="AC11" i="14"/>
  <c r="BS52" i="6"/>
  <c r="BS55" i="6" s="1"/>
  <c r="BG55" i="6"/>
  <c r="K38" i="4"/>
  <c r="J33" i="2"/>
  <c r="J34" i="2" s="1"/>
  <c r="T55" i="6"/>
  <c r="AF52" i="6"/>
  <c r="AF55" i="6" s="1"/>
  <c r="AH52" i="6" s="1"/>
  <c r="AH55" i="6" s="1"/>
  <c r="Z29" i="4"/>
  <c r="B136" i="10"/>
  <c r="K102" i="6"/>
  <c r="K104" i="6"/>
  <c r="G66" i="3"/>
  <c r="G72" i="3" s="1"/>
  <c r="G79" i="3" s="1"/>
  <c r="G37" i="3"/>
  <c r="BX17" i="14"/>
  <c r="BW17" i="14" s="1"/>
  <c r="G73" i="3" l="1"/>
  <c r="R27" i="3"/>
  <c r="C10" i="12" s="1"/>
  <c r="I14" i="4"/>
  <c r="H36" i="3"/>
  <c r="H66" i="3" s="1"/>
  <c r="H72" i="3" s="1"/>
  <c r="H79" i="3" s="1"/>
  <c r="H25" i="2"/>
  <c r="J17" i="4" s="1"/>
  <c r="J14" i="4"/>
  <c r="I30" i="2"/>
  <c r="I36" i="2" s="1"/>
  <c r="CH12" i="14"/>
  <c r="BZ17" i="14"/>
  <c r="G67" i="3"/>
  <c r="K105" i="6"/>
  <c r="B137" i="10"/>
  <c r="AA29" i="4"/>
  <c r="V52" i="6"/>
  <c r="V55" i="6" s="1"/>
  <c r="BI52" i="6"/>
  <c r="BI55" i="6" s="1"/>
  <c r="F57" i="1"/>
  <c r="G57" i="1" s="1"/>
  <c r="Z31" i="4"/>
  <c r="AD11" i="14"/>
  <c r="AC10" i="14"/>
  <c r="Y31" i="4"/>
  <c r="X17" i="2"/>
  <c r="Y17" i="2" s="1"/>
  <c r="L102" i="6"/>
  <c r="L104" i="6"/>
  <c r="L105" i="6" s="1"/>
  <c r="D17" i="14"/>
  <c r="AJ52" i="6"/>
  <c r="AJ55" i="6" s="1"/>
  <c r="Y39" i="2"/>
  <c r="BS19" i="3"/>
  <c r="BS27" i="3" s="1"/>
  <c r="BS36" i="3" s="1"/>
  <c r="F56" i="1"/>
  <c r="N64" i="6"/>
  <c r="N68" i="6" s="1"/>
  <c r="M101" i="6"/>
  <c r="CW11" i="14"/>
  <c r="CV10" i="14"/>
  <c r="R36" i="3" l="1"/>
  <c r="R37" i="3" s="1"/>
  <c r="H73" i="3"/>
  <c r="BS66" i="3"/>
  <c r="BS67" i="3" s="1"/>
  <c r="BS37" i="3"/>
  <c r="H37" i="3"/>
  <c r="H30" i="2"/>
  <c r="H36" i="2" s="1"/>
  <c r="I17" i="4"/>
  <c r="AL52" i="6"/>
  <c r="AL55" i="6" s="1"/>
  <c r="M104" i="6"/>
  <c r="M105" i="6" s="1"/>
  <c r="M14" i="4" s="1"/>
  <c r="M102" i="6"/>
  <c r="Z39" i="2"/>
  <c r="N13" i="14"/>
  <c r="K76" i="3" s="1"/>
  <c r="H67" i="3"/>
  <c r="C17" i="14"/>
  <c r="O64" i="6"/>
  <c r="O68" i="6" s="1"/>
  <c r="N101" i="6"/>
  <c r="G56" i="1"/>
  <c r="F59" i="1"/>
  <c r="AD10" i="14"/>
  <c r="AE11" i="14"/>
  <c r="X52" i="6"/>
  <c r="X55" i="6" s="1"/>
  <c r="K25" i="2"/>
  <c r="L14" i="4"/>
  <c r="K14" i="4"/>
  <c r="J25" i="2"/>
  <c r="Z17" i="2"/>
  <c r="AA31" i="4"/>
  <c r="BK52" i="6"/>
  <c r="BK55" i="6" s="1"/>
  <c r="CX11" i="14"/>
  <c r="CW10" i="14"/>
  <c r="AB29" i="4"/>
  <c r="B138" i="10"/>
  <c r="BV18" i="14"/>
  <c r="BY18" i="14"/>
  <c r="F61" i="1" l="1"/>
  <c r="F90" i="1" s="1"/>
  <c r="R66" i="3"/>
  <c r="R72" i="3" s="1"/>
  <c r="R73" i="3" s="1"/>
  <c r="K77" i="3"/>
  <c r="K79" i="3" s="1"/>
  <c r="Z52" i="6"/>
  <c r="Z55" i="6" s="1"/>
  <c r="AA39" i="2"/>
  <c r="L25" i="2"/>
  <c r="P64" i="6"/>
  <c r="P68" i="6" s="1"/>
  <c r="O101" i="6"/>
  <c r="AN52" i="6"/>
  <c r="AN55" i="6" s="1"/>
  <c r="BX18" i="14"/>
  <c r="BW18" i="14" s="1"/>
  <c r="BM52" i="6"/>
  <c r="BM55" i="6" s="1"/>
  <c r="B139" i="10"/>
  <c r="AC29" i="4"/>
  <c r="CY11" i="14"/>
  <c r="CX10" i="14"/>
  <c r="L17" i="4"/>
  <c r="K30" i="2"/>
  <c r="AF11" i="14"/>
  <c r="AE10" i="14"/>
  <c r="G59" i="1"/>
  <c r="N12" i="14"/>
  <c r="L34" i="4" s="1"/>
  <c r="F17" i="14"/>
  <c r="K17" i="4"/>
  <c r="J30" i="2"/>
  <c r="J36" i="2" s="1"/>
  <c r="AB31" i="4"/>
  <c r="AA17" i="2"/>
  <c r="N104" i="6"/>
  <c r="N105" i="6" s="1"/>
  <c r="N102" i="6"/>
  <c r="R67" i="3" l="1"/>
  <c r="G61" i="1"/>
  <c r="CI12" i="14"/>
  <c r="BZ18" i="14"/>
  <c r="L38" i="4"/>
  <c r="K33" i="2"/>
  <c r="K34" i="2" s="1"/>
  <c r="K36" i="2" s="1"/>
  <c r="O104" i="6"/>
  <c r="O105" i="6" s="1"/>
  <c r="O102" i="6"/>
  <c r="N14" i="4"/>
  <c r="AB17" i="2"/>
  <c r="AC31" i="4"/>
  <c r="Q64" i="6"/>
  <c r="Q68" i="6" s="1"/>
  <c r="P101" i="6"/>
  <c r="AB52" i="6"/>
  <c r="AB55" i="6" s="1"/>
  <c r="G90" i="1"/>
  <c r="M25" i="2"/>
  <c r="D10" i="12"/>
  <c r="C11" i="12"/>
  <c r="AG11" i="14"/>
  <c r="AF10" i="14"/>
  <c r="CZ11" i="14"/>
  <c r="CY10" i="14"/>
  <c r="AD29" i="4"/>
  <c r="B140" i="10"/>
  <c r="AP52" i="6"/>
  <c r="AP55" i="6" s="1"/>
  <c r="M17" i="4"/>
  <c r="L30" i="2"/>
  <c r="B18" i="14"/>
  <c r="E18" i="14"/>
  <c r="BO52" i="6"/>
  <c r="BO55" i="6" s="1"/>
  <c r="AB39" i="2"/>
  <c r="CZ10" i="14" l="1"/>
  <c r="DA11" i="14"/>
  <c r="P102" i="6"/>
  <c r="P104" i="6"/>
  <c r="P105" i="6" s="1"/>
  <c r="O25" i="2" s="1"/>
  <c r="AD31" i="4"/>
  <c r="AC17" i="2"/>
  <c r="AR52" i="6"/>
  <c r="AR55" i="6" s="1"/>
  <c r="D11" i="12"/>
  <c r="R64" i="6"/>
  <c r="R68" i="6" s="1"/>
  <c r="Q101" i="6"/>
  <c r="N25" i="2"/>
  <c r="D18" i="14"/>
  <c r="C18" i="14" s="1"/>
  <c r="BQ52" i="6"/>
  <c r="BQ55" i="6" s="1"/>
  <c r="AH11" i="14"/>
  <c r="AG10" i="14"/>
  <c r="AD52" i="6"/>
  <c r="AD55" i="6" s="1"/>
  <c r="O14" i="4"/>
  <c r="AC39" i="2"/>
  <c r="B143" i="10"/>
  <c r="N17" i="4"/>
  <c r="M30" i="2"/>
  <c r="BY19" i="14"/>
  <c r="BV19" i="14"/>
  <c r="O30" i="2" l="1"/>
  <c r="P17" i="4"/>
  <c r="O12" i="14"/>
  <c r="M34" i="4" s="1"/>
  <c r="F18" i="14"/>
  <c r="AD39" i="2"/>
  <c r="BX19" i="14"/>
  <c r="BW19" i="14" s="1"/>
  <c r="CJ12" i="14" s="1"/>
  <c r="B144" i="10"/>
  <c r="AI11" i="14"/>
  <c r="AH10" i="14"/>
  <c r="T64" i="6"/>
  <c r="R101" i="6"/>
  <c r="P14" i="4"/>
  <c r="DB11" i="14"/>
  <c r="DA10" i="14"/>
  <c r="AE29" i="4"/>
  <c r="C141" i="10"/>
  <c r="O17" i="4"/>
  <c r="N30" i="2"/>
  <c r="O13" i="14"/>
  <c r="L76" i="3" s="1"/>
  <c r="Q102" i="6"/>
  <c r="Q104" i="6"/>
  <c r="Q105" i="6" s="1"/>
  <c r="Q14" i="4" s="1"/>
  <c r="AT52" i="6"/>
  <c r="BZ19" i="14" l="1"/>
  <c r="BV20" i="14" s="1"/>
  <c r="DC11" i="14"/>
  <c r="DB10" i="14"/>
  <c r="BF52" i="6"/>
  <c r="BF55" i="6" s="1"/>
  <c r="BH52" i="6" s="1"/>
  <c r="BH55" i="6" s="1"/>
  <c r="AT55" i="6"/>
  <c r="L77" i="3"/>
  <c r="L79" i="3" s="1"/>
  <c r="R104" i="6"/>
  <c r="R102" i="6"/>
  <c r="S101" i="6"/>
  <c r="B145" i="10"/>
  <c r="AH29" i="4"/>
  <c r="B19" i="14"/>
  <c r="E19" i="14"/>
  <c r="AD17" i="2"/>
  <c r="I16" i="1" s="1"/>
  <c r="AE31" i="4"/>
  <c r="I126" i="1"/>
  <c r="I128" i="1" s="1"/>
  <c r="P25" i="2"/>
  <c r="T68" i="6"/>
  <c r="AF64" i="6"/>
  <c r="AF68" i="6" s="1"/>
  <c r="M38" i="4"/>
  <c r="L33" i="2"/>
  <c r="L34" i="2" s="1"/>
  <c r="L36" i="2" s="1"/>
  <c r="AJ11" i="14"/>
  <c r="AI10" i="14"/>
  <c r="AG29" i="4"/>
  <c r="I38" i="1"/>
  <c r="AF39" i="2"/>
  <c r="BY20" i="14" l="1"/>
  <c r="BX20" i="14" s="1"/>
  <c r="BW20" i="14" s="1"/>
  <c r="CK12" i="14" s="1"/>
  <c r="AJ10" i="14"/>
  <c r="AK11" i="14"/>
  <c r="Q17" i="4"/>
  <c r="P30" i="2"/>
  <c r="AH31" i="4"/>
  <c r="R105" i="6"/>
  <c r="S104" i="6"/>
  <c r="AG39" i="2"/>
  <c r="B146" i="10"/>
  <c r="DD11" i="14"/>
  <c r="DC10" i="14"/>
  <c r="D19" i="14"/>
  <c r="C19" i="14" s="1"/>
  <c r="P12" i="14" s="1"/>
  <c r="N34" i="4" s="1"/>
  <c r="S102" i="6"/>
  <c r="AV52" i="6"/>
  <c r="AV55" i="6" s="1"/>
  <c r="AG31" i="4"/>
  <c r="AF17" i="2"/>
  <c r="AG17" i="2" s="1"/>
  <c r="U64" i="6"/>
  <c r="U68" i="6" s="1"/>
  <c r="T101" i="6"/>
  <c r="BJ52" i="6"/>
  <c r="BJ55" i="6" s="1"/>
  <c r="V64" i="6" l="1"/>
  <c r="V68" i="6" s="1"/>
  <c r="U101" i="6"/>
  <c r="P13" i="14"/>
  <c r="M76" i="3" s="1"/>
  <c r="F19" i="14"/>
  <c r="S105" i="6"/>
  <c r="AL11" i="14"/>
  <c r="AK10" i="14"/>
  <c r="AI29" i="4"/>
  <c r="F10" i="1"/>
  <c r="R14" i="4"/>
  <c r="F114" i="1" s="1"/>
  <c r="Q25" i="2"/>
  <c r="T102" i="6"/>
  <c r="T104" i="6"/>
  <c r="AF101" i="6"/>
  <c r="DE11" i="14"/>
  <c r="DD10" i="14"/>
  <c r="B147" i="10"/>
  <c r="AJ29" i="4"/>
  <c r="N38" i="4"/>
  <c r="M33" i="2"/>
  <c r="M34" i="2" s="1"/>
  <c r="M36" i="2" s="1"/>
  <c r="BL52" i="6"/>
  <c r="BL55" i="6" s="1"/>
  <c r="AX52" i="6"/>
  <c r="AX55" i="6" s="1"/>
  <c r="AH39" i="2"/>
  <c r="BZ20" i="14"/>
  <c r="M77" i="3" l="1"/>
  <c r="M79" i="3" s="1"/>
  <c r="AJ31" i="4"/>
  <c r="B20" i="14"/>
  <c r="E20" i="14"/>
  <c r="W64" i="6"/>
  <c r="W68" i="6" s="1"/>
  <c r="V101" i="6"/>
  <c r="BN52" i="6"/>
  <c r="BN55" i="6" s="1"/>
  <c r="AF102" i="6"/>
  <c r="BY21" i="14"/>
  <c r="BV21" i="14"/>
  <c r="AZ52" i="6"/>
  <c r="AZ55" i="6" s="1"/>
  <c r="DF11" i="14"/>
  <c r="DE10" i="14"/>
  <c r="T105" i="6"/>
  <c r="AF104" i="6"/>
  <c r="AI39" i="2"/>
  <c r="B148" i="10"/>
  <c r="AK29" i="4"/>
  <c r="Q30" i="2"/>
  <c r="F24" i="1"/>
  <c r="F29" i="1" s="1"/>
  <c r="R17" i="4"/>
  <c r="F117" i="1" s="1"/>
  <c r="AI31" i="4"/>
  <c r="AH17" i="2"/>
  <c r="AI17" i="2" s="1"/>
  <c r="AL10" i="14"/>
  <c r="AM11" i="14"/>
  <c r="U102" i="6"/>
  <c r="U104" i="6"/>
  <c r="U105" i="6" s="1"/>
  <c r="AN11" i="14" l="1"/>
  <c r="AM10" i="14"/>
  <c r="AF105" i="6"/>
  <c r="AJ39" i="2"/>
  <c r="T25" i="2"/>
  <c r="U14" i="4"/>
  <c r="T14" i="4"/>
  <c r="S25" i="2"/>
  <c r="DG11" i="14"/>
  <c r="DF10" i="14"/>
  <c r="BX21" i="14"/>
  <c r="BW21" i="14" s="1"/>
  <c r="CL12" i="14" s="1"/>
  <c r="D20" i="14"/>
  <c r="C20" i="14" s="1"/>
  <c r="Q12" i="14" s="1"/>
  <c r="O34" i="4" s="1"/>
  <c r="AK31" i="4"/>
  <c r="AJ17" i="2"/>
  <c r="BB52" i="6"/>
  <c r="BB55" i="6" s="1"/>
  <c r="BP52" i="6"/>
  <c r="BP55" i="6" s="1"/>
  <c r="B149" i="10"/>
  <c r="AL29" i="4"/>
  <c r="V104" i="6"/>
  <c r="V105" i="6" s="1"/>
  <c r="U25" i="2" s="1"/>
  <c r="V102" i="6"/>
  <c r="X64" i="6"/>
  <c r="X68" i="6" s="1"/>
  <c r="W101" i="6"/>
  <c r="O38" i="4" l="1"/>
  <c r="N33" i="2"/>
  <c r="N34" i="2" s="1"/>
  <c r="N36" i="2" s="1"/>
  <c r="BD52" i="6"/>
  <c r="BD55" i="6" s="1"/>
  <c r="Q13" i="14"/>
  <c r="N76" i="3" s="1"/>
  <c r="DH11" i="14"/>
  <c r="DG10" i="14"/>
  <c r="BR52" i="6"/>
  <c r="BR55" i="6" s="1"/>
  <c r="BZ21" i="14"/>
  <c r="W104" i="6"/>
  <c r="W105" i="6" s="1"/>
  <c r="W102" i="6"/>
  <c r="AK17" i="2"/>
  <c r="AL31" i="4"/>
  <c r="U17" i="4"/>
  <c r="T30" i="2"/>
  <c r="AO11" i="14"/>
  <c r="AN10" i="14"/>
  <c r="V17" i="4"/>
  <c r="U30" i="2"/>
  <c r="Y64" i="6"/>
  <c r="Y68" i="6" s="1"/>
  <c r="X101" i="6"/>
  <c r="V14" i="4"/>
  <c r="B150" i="10"/>
  <c r="AM29" i="4"/>
  <c r="F20" i="14"/>
  <c r="T17" i="4"/>
  <c r="S30" i="2"/>
  <c r="AK39" i="2"/>
  <c r="N77" i="3" l="1"/>
  <c r="N79" i="3" s="1"/>
  <c r="B21" i="14"/>
  <c r="E21" i="14"/>
  <c r="X102" i="6"/>
  <c r="X104" i="6"/>
  <c r="X105" i="6" s="1"/>
  <c r="BV22" i="14"/>
  <c r="BY22" i="14"/>
  <c r="W14" i="4"/>
  <c r="AL39" i="2"/>
  <c r="AM31" i="4"/>
  <c r="AL17" i="2"/>
  <c r="Z64" i="6"/>
  <c r="Z68" i="6" s="1"/>
  <c r="Y101" i="6"/>
  <c r="AP11" i="14"/>
  <c r="AO10" i="14"/>
  <c r="V25" i="2"/>
  <c r="DH10" i="14"/>
  <c r="DI11" i="14"/>
  <c r="B151" i="10"/>
  <c r="AN29" i="4"/>
  <c r="Y104" i="6" l="1"/>
  <c r="Y105" i="6" s="1"/>
  <c r="Y14" i="4" s="1"/>
  <c r="Y102" i="6"/>
  <c r="AM39" i="2"/>
  <c r="BX22" i="14"/>
  <c r="BW22" i="14" s="1"/>
  <c r="CM12" i="14" s="1"/>
  <c r="D21" i="14"/>
  <c r="DJ11" i="14"/>
  <c r="DI10" i="14"/>
  <c r="W17" i="4"/>
  <c r="V30" i="2"/>
  <c r="AA64" i="6"/>
  <c r="AA68" i="6" s="1"/>
  <c r="Z101" i="6"/>
  <c r="AM17" i="2"/>
  <c r="AN31" i="4"/>
  <c r="AQ11" i="14"/>
  <c r="AP10" i="14"/>
  <c r="W25" i="2"/>
  <c r="B152" i="10"/>
  <c r="AO29" i="4"/>
  <c r="X14" i="4"/>
  <c r="X25" i="2" l="1"/>
  <c r="X30" i="2" s="1"/>
  <c r="DK11" i="14"/>
  <c r="DJ10" i="14"/>
  <c r="R13" i="14"/>
  <c r="O76" i="3" s="1"/>
  <c r="B153" i="10"/>
  <c r="AP29" i="4"/>
  <c r="Z104" i="6"/>
  <c r="Z105" i="6" s="1"/>
  <c r="Y25" i="2" s="1"/>
  <c r="Z102" i="6"/>
  <c r="AN39" i="2"/>
  <c r="X17" i="4"/>
  <c r="W30" i="2"/>
  <c r="AR11" i="14"/>
  <c r="AQ10" i="14"/>
  <c r="AB64" i="6"/>
  <c r="AB68" i="6" s="1"/>
  <c r="AA101" i="6"/>
  <c r="AO31" i="4"/>
  <c r="AN17" i="2"/>
  <c r="C21" i="14"/>
  <c r="BZ22" i="14"/>
  <c r="Y17" i="4" l="1"/>
  <c r="O77" i="3"/>
  <c r="O79" i="3" s="1"/>
  <c r="Z14" i="4"/>
  <c r="Z17" i="4"/>
  <c r="Y30" i="2"/>
  <c r="AP31" i="4"/>
  <c r="AO17" i="2"/>
  <c r="R12" i="14"/>
  <c r="P34" i="4" s="1"/>
  <c r="F21" i="14"/>
  <c r="B154" i="10"/>
  <c r="AQ29" i="4"/>
  <c r="DL11" i="14"/>
  <c r="DK10" i="14"/>
  <c r="AA102" i="6"/>
  <c r="AA104" i="6"/>
  <c r="AA105" i="6" s="1"/>
  <c r="Z25" i="2" s="1"/>
  <c r="BY23" i="14"/>
  <c r="BV23" i="14"/>
  <c r="AC64" i="6"/>
  <c r="AC68" i="6" s="1"/>
  <c r="AB101" i="6"/>
  <c r="AR10" i="14"/>
  <c r="AS11" i="14"/>
  <c r="AO39" i="2"/>
  <c r="AA14" i="4" l="1"/>
  <c r="AP39" i="2"/>
  <c r="DM11" i="14"/>
  <c r="DL10" i="14"/>
  <c r="AQ31" i="4"/>
  <c r="AP17" i="2"/>
  <c r="B22" i="14"/>
  <c r="E22" i="14"/>
  <c r="Z30" i="2"/>
  <c r="AA17" i="4"/>
  <c r="AT11" i="14"/>
  <c r="AS10" i="14"/>
  <c r="AB102" i="6"/>
  <c r="AB104" i="6"/>
  <c r="AB105" i="6" s="1"/>
  <c r="AA25" i="2" s="1"/>
  <c r="BX23" i="14"/>
  <c r="BW23" i="14" s="1"/>
  <c r="B157" i="10"/>
  <c r="P38" i="4"/>
  <c r="O33" i="2"/>
  <c r="O34" i="2" s="1"/>
  <c r="O36" i="2" s="1"/>
  <c r="AD64" i="6"/>
  <c r="AD68" i="6" s="1"/>
  <c r="AC101" i="6"/>
  <c r="AB14" i="4" l="1"/>
  <c r="CN12" i="14"/>
  <c r="BZ23" i="14"/>
  <c r="AB17" i="4"/>
  <c r="AA30" i="2"/>
  <c r="DN11" i="14"/>
  <c r="DM10" i="14"/>
  <c r="AC104" i="6"/>
  <c r="AC105" i="6" s="1"/>
  <c r="AB25" i="2" s="1"/>
  <c r="AC102" i="6"/>
  <c r="AE64" i="6"/>
  <c r="AE68" i="6" s="1"/>
  <c r="AD101" i="6"/>
  <c r="B158" i="10"/>
  <c r="AT10" i="14"/>
  <c r="AU11" i="14"/>
  <c r="D22" i="14"/>
  <c r="C22" i="14" s="1"/>
  <c r="S12" i="14" s="1"/>
  <c r="Q34" i="4" s="1"/>
  <c r="AR29" i="4"/>
  <c r="C155" i="10"/>
  <c r="AQ39" i="2"/>
  <c r="F22" i="14" l="1"/>
  <c r="B23" i="14" s="1"/>
  <c r="AC14" i="4"/>
  <c r="AQ17" i="2"/>
  <c r="L16" i="1" s="1"/>
  <c r="AR31" i="4"/>
  <c r="L126" i="1"/>
  <c r="L128" i="1" s="1"/>
  <c r="AS39" i="2"/>
  <c r="L38" i="1"/>
  <c r="BV24" i="14"/>
  <c r="BY24" i="14"/>
  <c r="AB30" i="2"/>
  <c r="AC17" i="4"/>
  <c r="AG64" i="6"/>
  <c r="AE101" i="6"/>
  <c r="AT29" i="4"/>
  <c r="Q38" i="4"/>
  <c r="P33" i="2"/>
  <c r="P34" i="2" s="1"/>
  <c r="P36" i="2" s="1"/>
  <c r="S13" i="14"/>
  <c r="P76" i="3" s="1"/>
  <c r="AU29" i="4"/>
  <c r="B159" i="10"/>
  <c r="AV11" i="14"/>
  <c r="AU10" i="14"/>
  <c r="AD104" i="6"/>
  <c r="AD105" i="6" s="1"/>
  <c r="AD14" i="4" s="1"/>
  <c r="AD102" i="6"/>
  <c r="DO11" i="14"/>
  <c r="DN10" i="14"/>
  <c r="E23" i="14" l="1"/>
  <c r="D23" i="14" s="1"/>
  <c r="P77" i="3"/>
  <c r="P79" i="3" s="1"/>
  <c r="DP11" i="14"/>
  <c r="DO10" i="14"/>
  <c r="AE104" i="6"/>
  <c r="AE105" i="6" s="1"/>
  <c r="AE14" i="4" s="1"/>
  <c r="I114" i="1" s="1"/>
  <c r="AE102" i="6"/>
  <c r="AG68" i="6"/>
  <c r="AS64" i="6"/>
  <c r="AS68" i="6" s="1"/>
  <c r="B160" i="10"/>
  <c r="AV29" i="4"/>
  <c r="AU31" i="4"/>
  <c r="AT31" i="4"/>
  <c r="AS17" i="2"/>
  <c r="AT17" i="2" s="1"/>
  <c r="BX24" i="14"/>
  <c r="BW24" i="14" s="1"/>
  <c r="AT39" i="2"/>
  <c r="AW11" i="14"/>
  <c r="AV10" i="14"/>
  <c r="AC25" i="2"/>
  <c r="AD25" i="2" l="1"/>
  <c r="AD30" i="2" s="1"/>
  <c r="CO12" i="14"/>
  <c r="BZ24" i="14"/>
  <c r="T13" i="14"/>
  <c r="Q76" i="3" s="1"/>
  <c r="AH64" i="6"/>
  <c r="AH68" i="6" s="1"/>
  <c r="AG101" i="6"/>
  <c r="AX11" i="14"/>
  <c r="AW10" i="14"/>
  <c r="C23" i="14"/>
  <c r="AU39" i="2"/>
  <c r="AV31" i="4"/>
  <c r="AU17" i="2"/>
  <c r="AD17" i="4"/>
  <c r="AC30" i="2"/>
  <c r="B161" i="10"/>
  <c r="I10" i="1"/>
  <c r="DP10" i="14"/>
  <c r="DQ11" i="14"/>
  <c r="AE17" i="4" l="1"/>
  <c r="I117" i="1" s="1"/>
  <c r="I24" i="1"/>
  <c r="I29" i="1" s="1"/>
  <c r="R76" i="3"/>
  <c r="AI64" i="6"/>
  <c r="AI68" i="6" s="1"/>
  <c r="AH101" i="6"/>
  <c r="AV39" i="2"/>
  <c r="AY11" i="14"/>
  <c r="AX10" i="14"/>
  <c r="B162" i="10"/>
  <c r="AX29" i="4"/>
  <c r="DR11" i="14"/>
  <c r="DQ10" i="14"/>
  <c r="AW29" i="4"/>
  <c r="T12" i="14"/>
  <c r="R34" i="4" s="1"/>
  <c r="F23" i="14"/>
  <c r="AG102" i="6"/>
  <c r="AS101" i="6"/>
  <c r="AG104" i="6"/>
  <c r="BY25" i="14"/>
  <c r="BV25" i="14"/>
  <c r="Q77" i="3" l="1"/>
  <c r="Q33" i="2"/>
  <c r="R38" i="4"/>
  <c r="F131" i="1"/>
  <c r="F135" i="1" s="1"/>
  <c r="AY29" i="4"/>
  <c r="B163" i="10"/>
  <c r="B24" i="14"/>
  <c r="E24" i="14"/>
  <c r="AS102" i="6"/>
  <c r="R77" i="3"/>
  <c r="F93" i="1"/>
  <c r="AH104" i="6"/>
  <c r="AH105" i="6" s="1"/>
  <c r="AH102" i="6"/>
  <c r="BX25" i="14"/>
  <c r="BW25" i="14" s="1"/>
  <c r="CP12" i="14" s="1"/>
  <c r="AG105" i="6"/>
  <c r="AS104" i="6"/>
  <c r="AV17" i="2"/>
  <c r="AW17" i="2" s="1"/>
  <c r="AW31" i="4"/>
  <c r="DS11" i="14"/>
  <c r="DR10" i="14"/>
  <c r="AZ11" i="14"/>
  <c r="AY10" i="14"/>
  <c r="AW39" i="2"/>
  <c r="AJ64" i="6"/>
  <c r="AJ68" i="6" s="1"/>
  <c r="AI101" i="6"/>
  <c r="AX31" i="4"/>
  <c r="D14" i="12" l="1"/>
  <c r="C16" i="12"/>
  <c r="D16" i="12" s="1"/>
  <c r="Q79" i="3"/>
  <c r="R79" i="3" s="1"/>
  <c r="AY31" i="4"/>
  <c r="AX17" i="2"/>
  <c r="AK64" i="6"/>
  <c r="AK68" i="6" s="1"/>
  <c r="AJ101" i="6"/>
  <c r="F94" i="1"/>
  <c r="G94" i="1" s="1"/>
  <c r="AS105" i="6"/>
  <c r="D24" i="14"/>
  <c r="C24" i="14" s="1"/>
  <c r="U12" i="14" s="1"/>
  <c r="AZ10" i="14"/>
  <c r="BA11" i="14"/>
  <c r="AH14" i="4"/>
  <c r="AG25" i="2"/>
  <c r="AF25" i="2"/>
  <c r="AG14" i="4"/>
  <c r="AX39" i="2"/>
  <c r="DT11" i="14"/>
  <c r="DS10" i="14"/>
  <c r="AI104" i="6"/>
  <c r="AI105" i="6" s="1"/>
  <c r="AI14" i="4" s="1"/>
  <c r="AI102" i="6"/>
  <c r="BZ25" i="14"/>
  <c r="G93" i="1"/>
  <c r="F96" i="1"/>
  <c r="B164" i="10"/>
  <c r="AZ29" i="4"/>
  <c r="Q34" i="2"/>
  <c r="Q36" i="2" s="1"/>
  <c r="F32" i="1"/>
  <c r="F33" i="1" s="1"/>
  <c r="F35" i="1" s="1"/>
  <c r="J81" i="3" l="1"/>
  <c r="J83" i="3" s="1"/>
  <c r="N81" i="3"/>
  <c r="N83" i="3" s="1"/>
  <c r="F81" i="3"/>
  <c r="I81" i="3"/>
  <c r="I83" i="3" s="1"/>
  <c r="G81" i="3"/>
  <c r="G83" i="3" s="1"/>
  <c r="K81" i="3"/>
  <c r="K83" i="3" s="1"/>
  <c r="O81" i="3"/>
  <c r="O83" i="3" s="1"/>
  <c r="M81" i="3"/>
  <c r="M83" i="3" s="1"/>
  <c r="Q81" i="3"/>
  <c r="Q83" i="3" s="1"/>
  <c r="H81" i="3"/>
  <c r="H83" i="3" s="1"/>
  <c r="L81" i="3"/>
  <c r="L83" i="3" s="1"/>
  <c r="P81" i="3"/>
  <c r="P83" i="3" s="1"/>
  <c r="AZ31" i="4"/>
  <c r="AY17" i="2"/>
  <c r="BV26" i="14"/>
  <c r="BY26" i="14"/>
  <c r="AY39" i="2"/>
  <c r="AH25" i="2"/>
  <c r="AG30" i="2"/>
  <c r="AH17" i="4"/>
  <c r="G96" i="1"/>
  <c r="BA29" i="4"/>
  <c r="B165" i="10"/>
  <c r="AJ102" i="6"/>
  <c r="AJ104" i="6"/>
  <c r="AJ105" i="6" s="1"/>
  <c r="AJ14" i="4" s="1"/>
  <c r="DU11" i="14"/>
  <c r="DT10" i="14"/>
  <c r="BB11" i="14"/>
  <c r="BA10" i="14"/>
  <c r="F24" i="14"/>
  <c r="AL64" i="6"/>
  <c r="AL68" i="6" s="1"/>
  <c r="AK101" i="6"/>
  <c r="AG17" i="4"/>
  <c r="AF30" i="2"/>
  <c r="U13" i="14"/>
  <c r="S76" i="3" s="1"/>
  <c r="Q7" i="4" l="1"/>
  <c r="Q23" i="4" s="1"/>
  <c r="Q40" i="4" s="1"/>
  <c r="N7" i="4"/>
  <c r="N23" i="4" s="1"/>
  <c r="N40" i="4" s="1"/>
  <c r="J7" i="4"/>
  <c r="J23" i="4" s="1"/>
  <c r="J40" i="4" s="1"/>
  <c r="M7" i="4"/>
  <c r="M23" i="4" s="1"/>
  <c r="M40" i="4" s="1"/>
  <c r="P7" i="4"/>
  <c r="P23" i="4" s="1"/>
  <c r="P40" i="4" s="1"/>
  <c r="R81" i="3"/>
  <c r="F83" i="3"/>
  <c r="G85" i="3" s="1"/>
  <c r="H85" i="3" s="1"/>
  <c r="I85" i="3" s="1"/>
  <c r="J85" i="3" s="1"/>
  <c r="K85" i="3" s="1"/>
  <c r="L85" i="3" s="1"/>
  <c r="M85" i="3" s="1"/>
  <c r="N85" i="3" s="1"/>
  <c r="O85" i="3" s="1"/>
  <c r="P85" i="3" s="1"/>
  <c r="Q85" i="3" s="1"/>
  <c r="I7" i="4"/>
  <c r="I23" i="4" s="1"/>
  <c r="I40" i="4" s="1"/>
  <c r="L7" i="4"/>
  <c r="L23" i="4" s="1"/>
  <c r="L40" i="4" s="1"/>
  <c r="O7" i="4"/>
  <c r="O23" i="4" s="1"/>
  <c r="O40" i="4" s="1"/>
  <c r="R7" i="4"/>
  <c r="R23" i="4" s="1"/>
  <c r="R40" i="4" s="1"/>
  <c r="H7" i="4"/>
  <c r="H23" i="4" s="1"/>
  <c r="H40" i="4" s="1"/>
  <c r="K7" i="4"/>
  <c r="K23" i="4" s="1"/>
  <c r="K40" i="4" s="1"/>
  <c r="BB10" i="14"/>
  <c r="BC11" i="14"/>
  <c r="B25" i="14"/>
  <c r="E25" i="14"/>
  <c r="BX26" i="14"/>
  <c r="BW26" i="14" s="1"/>
  <c r="CQ12" i="14" s="1"/>
  <c r="AK102" i="6"/>
  <c r="AK104" i="6"/>
  <c r="AK105" i="6" s="1"/>
  <c r="AK14" i="4" s="1"/>
  <c r="AI25" i="2"/>
  <c r="AI17" i="4"/>
  <c r="AH30" i="2"/>
  <c r="AM64" i="6"/>
  <c r="AM68" i="6" s="1"/>
  <c r="AL101" i="6"/>
  <c r="DV11" i="14"/>
  <c r="DU10" i="14"/>
  <c r="B166" i="10"/>
  <c r="BB29" i="4"/>
  <c r="AZ39" i="2"/>
  <c r="AZ17" i="2"/>
  <c r="BA31" i="4"/>
  <c r="R83" i="3" l="1"/>
  <c r="C17" i="12"/>
  <c r="D17" i="12" s="1"/>
  <c r="F98" i="1"/>
  <c r="G98" i="1" s="1"/>
  <c r="G7" i="4"/>
  <c r="G23" i="4" s="1"/>
  <c r="F41" i="2"/>
  <c r="AJ25" i="2"/>
  <c r="AJ30" i="2" s="1"/>
  <c r="AL104" i="6"/>
  <c r="AL105" i="6" s="1"/>
  <c r="AK25" i="2" s="1"/>
  <c r="AL102" i="6"/>
  <c r="BD11" i="14"/>
  <c r="BC10" i="14"/>
  <c r="BB31" i="4"/>
  <c r="BA17" i="2"/>
  <c r="BA39" i="2"/>
  <c r="AN64" i="6"/>
  <c r="AN68" i="6" s="1"/>
  <c r="AM101" i="6"/>
  <c r="AI30" i="2"/>
  <c r="AJ17" i="4"/>
  <c r="D25" i="14"/>
  <c r="C25" i="14" s="1"/>
  <c r="BC29" i="4"/>
  <c r="B167" i="10"/>
  <c r="DW11" i="14"/>
  <c r="DV10" i="14"/>
  <c r="BZ26" i="14"/>
  <c r="F100" i="1" l="1"/>
  <c r="G100" i="1" s="1"/>
  <c r="F42" i="2"/>
  <c r="F44" i="2" s="1"/>
  <c r="G41" i="2"/>
  <c r="F107" i="1"/>
  <c r="F123" i="1" s="1"/>
  <c r="F137" i="1" s="1"/>
  <c r="F140" i="1" s="1"/>
  <c r="I138" i="1" s="1"/>
  <c r="AL14" i="4"/>
  <c r="AK17" i="4"/>
  <c r="V12" i="14"/>
  <c r="F25" i="14"/>
  <c r="DX11" i="14"/>
  <c r="DW10" i="14"/>
  <c r="BY27" i="14"/>
  <c r="BV27" i="14"/>
  <c r="B168" i="10"/>
  <c r="BD29" i="4"/>
  <c r="AO64" i="6"/>
  <c r="AO68" i="6" s="1"/>
  <c r="AN101" i="6"/>
  <c r="BB17" i="2"/>
  <c r="BC31" i="4"/>
  <c r="BB39" i="2"/>
  <c r="AL17" i="4"/>
  <c r="AK30" i="2"/>
  <c r="BE11" i="14"/>
  <c r="BD10" i="14"/>
  <c r="V13" i="14"/>
  <c r="T76" i="3" s="1"/>
  <c r="AM104" i="6"/>
  <c r="AM105" i="6" s="1"/>
  <c r="AM14" i="4" s="1"/>
  <c r="AM102" i="6"/>
  <c r="D12" i="12" l="1"/>
  <c r="C13" i="12"/>
  <c r="C15" i="12" s="1"/>
  <c r="G42" i="2"/>
  <c r="G44" i="2" s="1"/>
  <c r="H41" i="2"/>
  <c r="AL25" i="2"/>
  <c r="AN102" i="6"/>
  <c r="AN104" i="6"/>
  <c r="AN105" i="6" s="1"/>
  <c r="AM25" i="2" s="1"/>
  <c r="AP64" i="6"/>
  <c r="AP68" i="6" s="1"/>
  <c r="AO101" i="6"/>
  <c r="BX27" i="14"/>
  <c r="BW27" i="14" s="1"/>
  <c r="DX10" i="14"/>
  <c r="DY11" i="14"/>
  <c r="BD31" i="4"/>
  <c r="BC17" i="2"/>
  <c r="B26" i="14"/>
  <c r="E26" i="14"/>
  <c r="BF11" i="14"/>
  <c r="BE10" i="14"/>
  <c r="BC39" i="2"/>
  <c r="B171" i="10"/>
  <c r="D15" i="12" l="1"/>
  <c r="C18" i="12"/>
  <c r="D18" i="12" s="1"/>
  <c r="D13" i="12"/>
  <c r="H42" i="2"/>
  <c r="H44" i="2" s="1"/>
  <c r="I41" i="2"/>
  <c r="AN14" i="4"/>
  <c r="CR12" i="14"/>
  <c r="BZ27" i="14"/>
  <c r="BE29" i="4"/>
  <c r="C169" i="10"/>
  <c r="DZ11" i="14"/>
  <c r="DY10" i="14"/>
  <c r="BD39" i="2"/>
  <c r="AN17" i="4"/>
  <c r="AM30" i="2"/>
  <c r="BG11" i="14"/>
  <c r="BF10" i="14"/>
  <c r="D26" i="14"/>
  <c r="C26" i="14" s="1"/>
  <c r="W12" i="14" s="1"/>
  <c r="AO104" i="6"/>
  <c r="AO105" i="6" s="1"/>
  <c r="AN25" i="2" s="1"/>
  <c r="AO102" i="6"/>
  <c r="B172" i="10"/>
  <c r="AQ64" i="6"/>
  <c r="AQ68" i="6" s="1"/>
  <c r="AP101" i="6"/>
  <c r="AM17" i="4"/>
  <c r="AL30" i="2"/>
  <c r="D26" i="12" l="1"/>
  <c r="D30" i="12" s="1"/>
  <c r="I42" i="2"/>
  <c r="I44" i="2" s="1"/>
  <c r="J41" i="2"/>
  <c r="AO17" i="4"/>
  <c r="AN30" i="2"/>
  <c r="BG29" i="4"/>
  <c r="F26" i="14"/>
  <c r="AP104" i="6"/>
  <c r="AP105" i="6" s="1"/>
  <c r="AO25" i="2" s="1"/>
  <c r="AP102" i="6"/>
  <c r="B173" i="10"/>
  <c r="BH29" i="4"/>
  <c r="W13" i="14"/>
  <c r="U76" i="3" s="1"/>
  <c r="BD17" i="2"/>
  <c r="O16" i="1" s="1"/>
  <c r="BE31" i="4"/>
  <c r="O126" i="1"/>
  <c r="O128" i="1" s="1"/>
  <c r="AR64" i="6"/>
  <c r="AR68" i="6" s="1"/>
  <c r="AQ101" i="6"/>
  <c r="BV28" i="14"/>
  <c r="BY28" i="14"/>
  <c r="BH11" i="14"/>
  <c r="BG10" i="14"/>
  <c r="AO14" i="4"/>
  <c r="BF39" i="2"/>
  <c r="O38" i="1"/>
  <c r="EA11" i="14"/>
  <c r="DZ10" i="14"/>
  <c r="J42" i="2" l="1"/>
  <c r="J44" i="2" s="1"/>
  <c r="K41" i="2"/>
  <c r="AP14" i="4"/>
  <c r="EB11" i="14"/>
  <c r="EA10" i="14"/>
  <c r="BG39" i="2"/>
  <c r="BX28" i="14"/>
  <c r="BW28" i="14" s="1"/>
  <c r="CS12" i="14" s="1"/>
  <c r="BG31" i="4"/>
  <c r="BF17" i="2"/>
  <c r="BG17" i="2" s="1"/>
  <c r="BH10" i="14"/>
  <c r="BI11" i="14"/>
  <c r="AQ102" i="6"/>
  <c r="AQ104" i="6"/>
  <c r="AQ105" i="6" s="1"/>
  <c r="AP25" i="2" s="1"/>
  <c r="BH31" i="4"/>
  <c r="AO30" i="2"/>
  <c r="AP17" i="4"/>
  <c r="AT64" i="6"/>
  <c r="AR101" i="6"/>
  <c r="B174" i="10"/>
  <c r="BI29" i="4"/>
  <c r="B27" i="14"/>
  <c r="E27" i="14"/>
  <c r="K42" i="2" l="1"/>
  <c r="K44" i="2" s="1"/>
  <c r="L41" i="2"/>
  <c r="AQ17" i="4"/>
  <c r="AP30" i="2"/>
  <c r="AR102" i="6"/>
  <c r="AR104" i="6"/>
  <c r="AR105" i="6" s="1"/>
  <c r="AQ25" i="2" s="1"/>
  <c r="AT68" i="6"/>
  <c r="BF64" i="6"/>
  <c r="BF68" i="6" s="1"/>
  <c r="BJ11" i="14"/>
  <c r="BI10" i="14"/>
  <c r="B175" i="10"/>
  <c r="BJ29" i="4"/>
  <c r="BI31" i="4"/>
  <c r="BH17" i="2"/>
  <c r="BZ28" i="14"/>
  <c r="AQ14" i="4"/>
  <c r="BH39" i="2"/>
  <c r="D27" i="14"/>
  <c r="EB10" i="14"/>
  <c r="EC11" i="14"/>
  <c r="L42" i="2" l="1"/>
  <c r="L44" i="2" s="1"/>
  <c r="M41" i="2"/>
  <c r="AR14" i="4"/>
  <c r="L114" i="1" s="1"/>
  <c r="L10" i="1"/>
  <c r="BI39" i="2"/>
  <c r="AQ30" i="2"/>
  <c r="L24" i="1"/>
  <c r="L29" i="1" s="1"/>
  <c r="AR17" i="4"/>
  <c r="L117" i="1" s="1"/>
  <c r="ED11" i="14"/>
  <c r="EC10" i="14"/>
  <c r="BI17" i="2"/>
  <c r="BJ31" i="4"/>
  <c r="BJ10" i="14"/>
  <c r="BK11" i="14"/>
  <c r="AU64" i="6"/>
  <c r="AU68" i="6" s="1"/>
  <c r="AT101" i="6"/>
  <c r="X13" i="14"/>
  <c r="V76" i="3" s="1"/>
  <c r="BY29" i="14"/>
  <c r="BV29" i="14"/>
  <c r="B176" i="10"/>
  <c r="BK29" i="4"/>
  <c r="C27" i="14"/>
  <c r="M42" i="2" l="1"/>
  <c r="M44" i="2" s="1"/>
  <c r="N41" i="2"/>
  <c r="BX29" i="14"/>
  <c r="BW29" i="14" s="1"/>
  <c r="CT12" i="14" s="1"/>
  <c r="ED10" i="14"/>
  <c r="EE11" i="14"/>
  <c r="AV64" i="6"/>
  <c r="AV68" i="6" s="1"/>
  <c r="AU101" i="6"/>
  <c r="X12" i="14"/>
  <c r="F27" i="14"/>
  <c r="BK31" i="4"/>
  <c r="BJ17" i="2"/>
  <c r="AT104" i="6"/>
  <c r="BF101" i="6"/>
  <c r="AT102" i="6"/>
  <c r="BJ39" i="2"/>
  <c r="B177" i="10"/>
  <c r="BL29" i="4"/>
  <c r="BL11" i="14"/>
  <c r="BK10" i="14"/>
  <c r="N42" i="2" l="1"/>
  <c r="N44" i="2" s="1"/>
  <c r="O41" i="2"/>
  <c r="AU104" i="6"/>
  <c r="AU105" i="6" s="1"/>
  <c r="AU102" i="6"/>
  <c r="BF102" i="6"/>
  <c r="B28" i="14"/>
  <c r="E28" i="14"/>
  <c r="AW64" i="6"/>
  <c r="AW68" i="6" s="1"/>
  <c r="AV101" i="6"/>
  <c r="BM11" i="14"/>
  <c r="BL10" i="14"/>
  <c r="BK39" i="2"/>
  <c r="BF104" i="6"/>
  <c r="AT105" i="6"/>
  <c r="EF11" i="14"/>
  <c r="EE10" i="14"/>
  <c r="BZ29" i="14"/>
  <c r="BK17" i="2"/>
  <c r="BL31" i="4"/>
  <c r="B178" i="10"/>
  <c r="BM29" i="4"/>
  <c r="O42" i="2" l="1"/>
  <c r="O44" i="2" s="1"/>
  <c r="P41" i="2"/>
  <c r="BM31" i="4"/>
  <c r="BL17" i="2"/>
  <c r="BV30" i="14"/>
  <c r="BY30" i="14"/>
  <c r="EF10" i="14"/>
  <c r="EG11" i="14"/>
  <c r="B179" i="10"/>
  <c r="BN29" i="4"/>
  <c r="AT25" i="2"/>
  <c r="AU14" i="4"/>
  <c r="AS25" i="2"/>
  <c r="AT14" i="4"/>
  <c r="AV102" i="6"/>
  <c r="AV104" i="6"/>
  <c r="AV105" i="6" s="1"/>
  <c r="BL39" i="2"/>
  <c r="D28" i="14"/>
  <c r="BF105" i="6"/>
  <c r="BN11" i="14"/>
  <c r="BM10" i="14"/>
  <c r="AX64" i="6"/>
  <c r="AX68" i="6" s="1"/>
  <c r="AW101" i="6"/>
  <c r="P42" i="2" l="1"/>
  <c r="P44" i="2" s="1"/>
  <c r="Q41" i="2"/>
  <c r="AY64" i="6"/>
  <c r="AY68" i="6" s="1"/>
  <c r="AX101" i="6"/>
  <c r="AT17" i="4"/>
  <c r="AS30" i="2"/>
  <c r="B180" i="10"/>
  <c r="BO29" i="4"/>
  <c r="EH11" i="14"/>
  <c r="EG10" i="14"/>
  <c r="BX30" i="14"/>
  <c r="BW30" i="14" s="1"/>
  <c r="CU12" i="14" s="1"/>
  <c r="BM39" i="2"/>
  <c r="AW102" i="6"/>
  <c r="AW104" i="6"/>
  <c r="AW105" i="6" s="1"/>
  <c r="AW14" i="4" s="1"/>
  <c r="BO11" i="14"/>
  <c r="BN10" i="14"/>
  <c r="AU25" i="2"/>
  <c r="Y13" i="14"/>
  <c r="W76" i="3" s="1"/>
  <c r="AU17" i="4"/>
  <c r="AT30" i="2"/>
  <c r="AV14" i="4"/>
  <c r="BM17" i="2"/>
  <c r="BN31" i="4"/>
  <c r="C28" i="14"/>
  <c r="F40" i="1" l="1"/>
  <c r="F41" i="1" s="1"/>
  <c r="F43" i="1" s="1"/>
  <c r="Q44" i="2"/>
  <c r="AV25" i="2"/>
  <c r="AW17" i="4" s="1"/>
  <c r="Y12" i="14"/>
  <c r="F28" i="14"/>
  <c r="AV17" i="4"/>
  <c r="AU30" i="2"/>
  <c r="BP11" i="14"/>
  <c r="BO10" i="14"/>
  <c r="BZ30" i="14"/>
  <c r="EI11" i="14"/>
  <c r="EH10" i="14"/>
  <c r="BN39" i="2"/>
  <c r="BO31" i="4"/>
  <c r="BN17" i="2"/>
  <c r="B181" i="10"/>
  <c r="BP29" i="4"/>
  <c r="AX104" i="6"/>
  <c r="AX105" i="6" s="1"/>
  <c r="AW25" i="2" s="1"/>
  <c r="AX102" i="6"/>
  <c r="AZ64" i="6"/>
  <c r="AZ68" i="6" s="1"/>
  <c r="AY101" i="6"/>
  <c r="AV30" i="2" l="1"/>
  <c r="AX17" i="4"/>
  <c r="AW30" i="2"/>
  <c r="BO39" i="2"/>
  <c r="BA64" i="6"/>
  <c r="BA68" i="6" s="1"/>
  <c r="AZ101" i="6"/>
  <c r="BP31" i="4"/>
  <c r="BO17" i="2"/>
  <c r="BY31" i="14"/>
  <c r="BV31" i="14"/>
  <c r="BP10" i="14"/>
  <c r="BQ11" i="14"/>
  <c r="B29" i="14"/>
  <c r="E29" i="14"/>
  <c r="AY104" i="6"/>
  <c r="AY105" i="6" s="1"/>
  <c r="AY14" i="4" s="1"/>
  <c r="AY102" i="6"/>
  <c r="AX14" i="4"/>
  <c r="B182" i="10"/>
  <c r="BQ29" i="4"/>
  <c r="EJ11" i="14"/>
  <c r="EI10" i="14"/>
  <c r="BQ31" i="4" l="1"/>
  <c r="BP17" i="2"/>
  <c r="BR29" i="4"/>
  <c r="C183" i="10"/>
  <c r="AX25" i="2"/>
  <c r="BQ10" i="14"/>
  <c r="AZ102" i="6"/>
  <c r="AZ104" i="6"/>
  <c r="AZ105" i="6" s="1"/>
  <c r="AZ14" i="4" s="1"/>
  <c r="BP39" i="2"/>
  <c r="BX31" i="14"/>
  <c r="BW31" i="14" s="1"/>
  <c r="BB64" i="6"/>
  <c r="BB68" i="6" s="1"/>
  <c r="BA101" i="6"/>
  <c r="EJ10" i="14"/>
  <c r="EK11" i="14"/>
  <c r="D29" i="14"/>
  <c r="AY25" i="2" l="1"/>
  <c r="AY30" i="2" s="1"/>
  <c r="CV12" i="14"/>
  <c r="BZ31" i="14"/>
  <c r="Z13" i="14"/>
  <c r="X76" i="3" s="1"/>
  <c r="BQ17" i="2"/>
  <c r="R16" i="1" s="1"/>
  <c r="BR31" i="4"/>
  <c r="R126" i="1"/>
  <c r="R128" i="1" s="1"/>
  <c r="BC64" i="6"/>
  <c r="BC68" i="6" s="1"/>
  <c r="BB101" i="6"/>
  <c r="EK10" i="14"/>
  <c r="C29" i="14"/>
  <c r="BA102" i="6"/>
  <c r="BA104" i="6"/>
  <c r="BA105" i="6" s="1"/>
  <c r="AZ25" i="2" s="1"/>
  <c r="BQ39" i="2"/>
  <c r="AX30" i="2"/>
  <c r="AY17" i="4"/>
  <c r="AZ17" i="4" l="1"/>
  <c r="AZ30" i="2"/>
  <c r="BA17" i="4"/>
  <c r="R38" i="1"/>
  <c r="BV32" i="14"/>
  <c r="BY32" i="14"/>
  <c r="BD64" i="6"/>
  <c r="BD68" i="6" s="1"/>
  <c r="BC101" i="6"/>
  <c r="Z12" i="14"/>
  <c r="F29" i="14"/>
  <c r="BB104" i="6"/>
  <c r="BB105" i="6" s="1"/>
  <c r="BB102" i="6"/>
  <c r="BA14" i="4"/>
  <c r="BX32" i="14" l="1"/>
  <c r="BW32" i="14" s="1"/>
  <c r="CW12" i="14" s="1"/>
  <c r="BB14" i="4"/>
  <c r="BA25" i="2"/>
  <c r="B30" i="14"/>
  <c r="E30" i="14"/>
  <c r="BC104" i="6"/>
  <c r="BC105" i="6" s="1"/>
  <c r="BB25" i="2" s="1"/>
  <c r="BC102" i="6"/>
  <c r="BE64" i="6"/>
  <c r="BE68" i="6" s="1"/>
  <c r="BD101" i="6"/>
  <c r="BC17" i="4" l="1"/>
  <c r="BB30" i="2"/>
  <c r="BG64" i="6"/>
  <c r="BE101" i="6"/>
  <c r="BC14" i="4"/>
  <c r="BB17" i="4"/>
  <c r="BA30" i="2"/>
  <c r="BD102" i="6"/>
  <c r="BD104" i="6"/>
  <c r="BD105" i="6" s="1"/>
  <c r="BC25" i="2" s="1"/>
  <c r="D30" i="14"/>
  <c r="BZ32" i="14"/>
  <c r="BD17" i="4" l="1"/>
  <c r="BC30" i="2"/>
  <c r="BE104" i="6"/>
  <c r="BE105" i="6" s="1"/>
  <c r="BE14" i="4" s="1"/>
  <c r="BE102" i="6"/>
  <c r="BY33" i="14"/>
  <c r="BV33" i="14"/>
  <c r="BS64" i="6"/>
  <c r="BS68" i="6" s="1"/>
  <c r="BG68" i="6"/>
  <c r="AA13" i="14"/>
  <c r="Y76" i="3" s="1"/>
  <c r="BD14" i="4"/>
  <c r="C30" i="14"/>
  <c r="O114" i="1" l="1"/>
  <c r="O10" i="1"/>
  <c r="BD25" i="2"/>
  <c r="BH64" i="6"/>
  <c r="BH68" i="6" s="1"/>
  <c r="BG101" i="6"/>
  <c r="AA12" i="14"/>
  <c r="F30" i="14"/>
  <c r="BX33" i="14"/>
  <c r="BW33" i="14" s="1"/>
  <c r="CX12" i="14" l="1"/>
  <c r="BZ33" i="14"/>
  <c r="BE17" i="4"/>
  <c r="O117" i="1" s="1"/>
  <c r="BD30" i="2"/>
  <c r="O24" i="1"/>
  <c r="O29" i="1" s="1"/>
  <c r="B31" i="14"/>
  <c r="E31" i="14"/>
  <c r="BG102" i="6"/>
  <c r="BS101" i="6"/>
  <c r="BG104" i="6"/>
  <c r="BI64" i="6"/>
  <c r="BI68" i="6" s="1"/>
  <c r="BH101" i="6"/>
  <c r="BH102" i="6" l="1"/>
  <c r="BH104" i="6"/>
  <c r="BH105" i="6" s="1"/>
  <c r="BJ64" i="6"/>
  <c r="BJ68" i="6" s="1"/>
  <c r="BI101" i="6"/>
  <c r="D31" i="14"/>
  <c r="BG105" i="6"/>
  <c r="BS104" i="6"/>
  <c r="BV34" i="14"/>
  <c r="BY34" i="14"/>
  <c r="BS102" i="6"/>
  <c r="BT102" i="6" s="1"/>
  <c r="BT101" i="6"/>
  <c r="BX34" i="14" l="1"/>
  <c r="BW34" i="14" s="1"/>
  <c r="CY12" i="14" s="1"/>
  <c r="BH14" i="4"/>
  <c r="BG25" i="2"/>
  <c r="BG14" i="4"/>
  <c r="BF25" i="2"/>
  <c r="BK64" i="6"/>
  <c r="BK68" i="6" s="1"/>
  <c r="BJ101" i="6"/>
  <c r="AB13" i="14"/>
  <c r="Z76" i="3" s="1"/>
  <c r="C31" i="14"/>
  <c r="BS105" i="6"/>
  <c r="BT105" i="6" s="1"/>
  <c r="BT104" i="6"/>
  <c r="BI104" i="6"/>
  <c r="BI105" i="6" s="1"/>
  <c r="BI14" i="4" s="1"/>
  <c r="BI102" i="6"/>
  <c r="BJ104" i="6" l="1"/>
  <c r="BJ105" i="6" s="1"/>
  <c r="BJ14" i="4" s="1"/>
  <c r="BJ102" i="6"/>
  <c r="BG30" i="2"/>
  <c r="BH17" i="4"/>
  <c r="AB12" i="14"/>
  <c r="F31" i="14"/>
  <c r="BL64" i="6"/>
  <c r="BL68" i="6" s="1"/>
  <c r="BK101" i="6"/>
  <c r="BG17" i="4"/>
  <c r="BF30" i="2"/>
  <c r="BH25" i="2"/>
  <c r="BZ34" i="14"/>
  <c r="BI25" i="2" l="1"/>
  <c r="BI30" i="2" s="1"/>
  <c r="BK104" i="6"/>
  <c r="BK105" i="6" s="1"/>
  <c r="BK14" i="4" s="1"/>
  <c r="BK102" i="6"/>
  <c r="BI17" i="4"/>
  <c r="BH30" i="2"/>
  <c r="BM64" i="6"/>
  <c r="BM68" i="6" s="1"/>
  <c r="BL101" i="6"/>
  <c r="BY35" i="14"/>
  <c r="BV35" i="14"/>
  <c r="B32" i="14"/>
  <c r="E32" i="14"/>
  <c r="BJ25" i="2" l="1"/>
  <c r="BK17" i="4" s="1"/>
  <c r="BJ17" i="4"/>
  <c r="D32" i="14"/>
  <c r="C32" i="14" s="1"/>
  <c r="AC12" i="14" s="1"/>
  <c r="BX35" i="14"/>
  <c r="BW35" i="14" s="1"/>
  <c r="BL102" i="6"/>
  <c r="BL104" i="6"/>
  <c r="BL105" i="6" s="1"/>
  <c r="BN64" i="6"/>
  <c r="BN68" i="6" s="1"/>
  <c r="BM101" i="6"/>
  <c r="BJ30" i="2" l="1"/>
  <c r="CZ12" i="14"/>
  <c r="BZ35" i="14"/>
  <c r="BL14" i="4"/>
  <c r="F32" i="14"/>
  <c r="BK25" i="2"/>
  <c r="AC13" i="14"/>
  <c r="AA76" i="3" s="1"/>
  <c r="BM102" i="6"/>
  <c r="BM104" i="6"/>
  <c r="BM105" i="6" s="1"/>
  <c r="BM14" i="4" s="1"/>
  <c r="BO64" i="6"/>
  <c r="BO68" i="6" s="1"/>
  <c r="BN101" i="6"/>
  <c r="BL25" i="2" l="1"/>
  <c r="BL17" i="4"/>
  <c r="BK30" i="2"/>
  <c r="BN104" i="6"/>
  <c r="BN105" i="6" s="1"/>
  <c r="BM25" i="2" s="1"/>
  <c r="BN102" i="6"/>
  <c r="B33" i="14"/>
  <c r="E33" i="14"/>
  <c r="BY36" i="14"/>
  <c r="BV36" i="14"/>
  <c r="BP64" i="6"/>
  <c r="BP68" i="6" s="1"/>
  <c r="BO101" i="6"/>
  <c r="BN17" i="4" l="1"/>
  <c r="BM30" i="2"/>
  <c r="BQ64" i="6"/>
  <c r="BQ68" i="6" s="1"/>
  <c r="BP101" i="6"/>
  <c r="BO104" i="6"/>
  <c r="BO105" i="6" s="1"/>
  <c r="BN25" i="2" s="1"/>
  <c r="BO102" i="6"/>
  <c r="BX36" i="14"/>
  <c r="BW36" i="14" s="1"/>
  <c r="D33" i="14"/>
  <c r="BN14" i="4"/>
  <c r="BM17" i="4"/>
  <c r="BL30" i="2"/>
  <c r="DA12" i="14" l="1"/>
  <c r="BZ36" i="14"/>
  <c r="BP102" i="6"/>
  <c r="BP104" i="6"/>
  <c r="BP105" i="6" s="1"/>
  <c r="BO25" i="2" s="1"/>
  <c r="BO17" i="4"/>
  <c r="BN30" i="2"/>
  <c r="BR64" i="6"/>
  <c r="BR68" i="6" s="1"/>
  <c r="BR101" i="6" s="1"/>
  <c r="BQ101" i="6"/>
  <c r="AD13" i="14"/>
  <c r="AB76" i="3" s="1"/>
  <c r="BO14" i="4"/>
  <c r="C33" i="14"/>
  <c r="AD12" i="14" l="1"/>
  <c r="F33" i="14"/>
  <c r="BQ102" i="6"/>
  <c r="BQ104" i="6"/>
  <c r="BQ105" i="6" s="1"/>
  <c r="BQ14" i="4" s="1"/>
  <c r="BP14" i="4"/>
  <c r="BR104" i="6"/>
  <c r="BR105" i="6" s="1"/>
  <c r="R10" i="1" s="1"/>
  <c r="BR102" i="6"/>
  <c r="BO30" i="2"/>
  <c r="BP17" i="4"/>
  <c r="BV37" i="14"/>
  <c r="BY37" i="14"/>
  <c r="BP25" i="2" l="1"/>
  <c r="BQ17" i="4" s="1"/>
  <c r="BX37" i="14"/>
  <c r="BW37" i="14" s="1"/>
  <c r="BR14" i="4"/>
  <c r="R114" i="1" s="1"/>
  <c r="BQ25" i="2"/>
  <c r="B34" i="14"/>
  <c r="E34" i="14"/>
  <c r="BP30" i="2" l="1"/>
  <c r="DB12" i="14"/>
  <c r="BZ37" i="14"/>
  <c r="BQ30" i="2"/>
  <c r="R24" i="1"/>
  <c r="R29" i="1" s="1"/>
  <c r="BR17" i="4"/>
  <c r="R117" i="1" s="1"/>
  <c r="D34" i="14"/>
  <c r="AE13" i="14" l="1"/>
  <c r="AC76" i="3" s="1"/>
  <c r="C34" i="14"/>
  <c r="BY38" i="14"/>
  <c r="BV38" i="14"/>
  <c r="BX38" i="14" l="1"/>
  <c r="BW38" i="14" s="1"/>
  <c r="AE12" i="14"/>
  <c r="F34" i="14"/>
  <c r="DC12" i="14" l="1"/>
  <c r="BZ38" i="14"/>
  <c r="B35" i="14"/>
  <c r="E35" i="14"/>
  <c r="D35" i="14" l="1"/>
  <c r="BV39" i="14"/>
  <c r="BY39" i="14"/>
  <c r="AF13" i="14" l="1"/>
  <c r="AD76" i="3" s="1"/>
  <c r="BX39" i="14"/>
  <c r="BW39" i="14" s="1"/>
  <c r="C35" i="14"/>
  <c r="DD12" i="14" l="1"/>
  <c r="BZ39" i="14"/>
  <c r="AF12" i="14"/>
  <c r="F35" i="14"/>
  <c r="BY40" i="14" l="1"/>
  <c r="BV40" i="14"/>
  <c r="B36" i="14"/>
  <c r="E36" i="14"/>
  <c r="D36" i="14" l="1"/>
  <c r="BX40" i="14"/>
  <c r="BW40" i="14" s="1"/>
  <c r="DE12" i="14" s="1"/>
  <c r="AG13" i="14" l="1"/>
  <c r="AF76" i="3" s="1"/>
  <c r="BZ40" i="14"/>
  <c r="C36" i="14"/>
  <c r="AG12" i="14" l="1"/>
  <c r="F36" i="14"/>
  <c r="BV41" i="14"/>
  <c r="BY41" i="14"/>
  <c r="BX41" i="14" l="1"/>
  <c r="BW41" i="14" s="1"/>
  <c r="E37" i="14"/>
  <c r="B37" i="14"/>
  <c r="DF12" i="14" l="1"/>
  <c r="BZ41" i="14"/>
  <c r="D37" i="14"/>
  <c r="C37" i="14" s="1"/>
  <c r="AH12" i="14" s="1"/>
  <c r="F37" i="14" l="1"/>
  <c r="AH13" i="14"/>
  <c r="AG76" i="3" s="1"/>
  <c r="BY42" i="14"/>
  <c r="BV42" i="14"/>
  <c r="BX42" i="14" l="1"/>
  <c r="BW42" i="14" s="1"/>
  <c r="DG12" i="14" s="1"/>
  <c r="E38" i="14"/>
  <c r="B38" i="14"/>
  <c r="BZ42" i="14" l="1"/>
  <c r="BV43" i="14" s="1"/>
  <c r="D38" i="14"/>
  <c r="BY43" i="14" l="1"/>
  <c r="BX43" i="14" s="1"/>
  <c r="BW43" i="14" s="1"/>
  <c r="AI13" i="14"/>
  <c r="AH76" i="3" s="1"/>
  <c r="C38" i="14"/>
  <c r="DH12" i="14" l="1"/>
  <c r="BZ43" i="14"/>
  <c r="AI12" i="14"/>
  <c r="F38" i="14"/>
  <c r="B39" i="14" l="1"/>
  <c r="E39" i="14"/>
  <c r="BY44" i="14"/>
  <c r="BV44" i="14"/>
  <c r="D39" i="14" l="1"/>
  <c r="BX44" i="14"/>
  <c r="BW44" i="14" s="1"/>
  <c r="DI12" i="14" l="1"/>
  <c r="BZ44" i="14"/>
  <c r="AJ13" i="14"/>
  <c r="AI76" i="3" s="1"/>
  <c r="C39" i="14"/>
  <c r="BV45" i="14" l="1"/>
  <c r="BY45" i="14"/>
  <c r="AJ12" i="14"/>
  <c r="F39" i="14"/>
  <c r="E40" i="14" l="1"/>
  <c r="B40" i="14"/>
  <c r="BX45" i="14"/>
  <c r="BW45" i="14" s="1"/>
  <c r="DJ12" i="14" l="1"/>
  <c r="BZ45" i="14"/>
  <c r="D40" i="14"/>
  <c r="AK13" i="14" l="1"/>
  <c r="AJ76" i="3" s="1"/>
  <c r="C40" i="14"/>
  <c r="BY46" i="14"/>
  <c r="BV46" i="14"/>
  <c r="BX46" i="14" l="1"/>
  <c r="BW46" i="14" s="1"/>
  <c r="AK12" i="14"/>
  <c r="F40" i="14"/>
  <c r="DK12" i="14" l="1"/>
  <c r="BZ46" i="14"/>
  <c r="E41" i="14"/>
  <c r="B41" i="14"/>
  <c r="D41" i="14" l="1"/>
  <c r="BV47" i="14"/>
  <c r="BY47" i="14"/>
  <c r="AL13" i="14" l="1"/>
  <c r="AK76" i="3" s="1"/>
  <c r="BX47" i="14"/>
  <c r="BW47" i="14" s="1"/>
  <c r="C41" i="14"/>
  <c r="DL12" i="14" l="1"/>
  <c r="BZ47" i="14"/>
  <c r="AL12" i="14"/>
  <c r="F41" i="14"/>
  <c r="E42" i="14" l="1"/>
  <c r="B42" i="14"/>
  <c r="BY48" i="14"/>
  <c r="BV48" i="14"/>
  <c r="BX48" i="14" l="1"/>
  <c r="BW48" i="14" s="1"/>
  <c r="D42" i="14"/>
  <c r="DM12" i="14" l="1"/>
  <c r="BZ48" i="14"/>
  <c r="AM13" i="14"/>
  <c r="AL76" i="3" s="1"/>
  <c r="C42" i="14"/>
  <c r="BV49" i="14" l="1"/>
  <c r="BY49" i="14"/>
  <c r="AM12" i="14"/>
  <c r="F42" i="14"/>
  <c r="B43" i="14" l="1"/>
  <c r="E43" i="14"/>
  <c r="BX49" i="14"/>
  <c r="BW49" i="14" s="1"/>
  <c r="DN12" i="14" l="1"/>
  <c r="BZ49" i="14"/>
  <c r="D43" i="14"/>
  <c r="C43" i="14" s="1"/>
  <c r="AN12" i="14" s="1"/>
  <c r="F43" i="14" l="1"/>
  <c r="AN13" i="14"/>
  <c r="AM76" i="3" s="1"/>
  <c r="BY50" i="14"/>
  <c r="BV50" i="14"/>
  <c r="BX50" i="14" l="1"/>
  <c r="BW50" i="14" s="1"/>
  <c r="DO12" i="14" s="1"/>
  <c r="E44" i="14"/>
  <c r="B44" i="14"/>
  <c r="BZ50" i="14" l="1"/>
  <c r="D44" i="14"/>
  <c r="C44" i="14" s="1"/>
  <c r="AO12" i="14" l="1"/>
  <c r="F44" i="14"/>
  <c r="AO13" i="14"/>
  <c r="AN76" i="3" s="1"/>
  <c r="BV51" i="14"/>
  <c r="BY51" i="14"/>
  <c r="BX51" i="14" l="1"/>
  <c r="BW51" i="14" s="1"/>
  <c r="E45" i="14"/>
  <c r="B45" i="14"/>
  <c r="DP12" i="14" l="1"/>
  <c r="BZ51" i="14"/>
  <c r="D45" i="14"/>
  <c r="C45" i="14" s="1"/>
  <c r="AP12" i="14" s="1"/>
  <c r="F45" i="14" l="1"/>
  <c r="AP13" i="14"/>
  <c r="AO76" i="3" s="1"/>
  <c r="BY52" i="14"/>
  <c r="BV52" i="14"/>
  <c r="BX52" i="14" l="1"/>
  <c r="BW52" i="14" s="1"/>
  <c r="DQ12" i="14" s="1"/>
  <c r="E46" i="14"/>
  <c r="B46" i="14"/>
  <c r="D46" i="14" l="1"/>
  <c r="BZ52" i="14"/>
  <c r="BV53" i="14" l="1"/>
  <c r="BY53" i="14"/>
  <c r="AQ13" i="14"/>
  <c r="AP76" i="3" s="1"/>
  <c r="C46" i="14"/>
  <c r="AQ12" i="14" l="1"/>
  <c r="F46" i="14"/>
  <c r="BX53" i="14"/>
  <c r="BW53" i="14" s="1"/>
  <c r="DR12" i="14" l="1"/>
  <c r="BZ53" i="14"/>
  <c r="B47" i="14"/>
  <c r="E47" i="14"/>
  <c r="D47" i="14" l="1"/>
  <c r="C47" i="14" s="1"/>
  <c r="AR12" i="14" s="1"/>
  <c r="BV54" i="14"/>
  <c r="BY54" i="14"/>
  <c r="F47" i="14" l="1"/>
  <c r="BX54" i="14"/>
  <c r="BW54" i="14" s="1"/>
  <c r="DS12" i="14" s="1"/>
  <c r="AR13" i="14"/>
  <c r="AQ76" i="3" s="1"/>
  <c r="BZ54" i="14" l="1"/>
  <c r="BV55" i="14" s="1"/>
  <c r="E48" i="14"/>
  <c r="B48" i="14"/>
  <c r="BY55" i="14" l="1"/>
  <c r="BX55" i="14" s="1"/>
  <c r="BW55" i="14" s="1"/>
  <c r="D48" i="14"/>
  <c r="DT12" i="14" l="1"/>
  <c r="BZ55" i="14"/>
  <c r="AS13" i="14"/>
  <c r="AS76" i="3" s="1"/>
  <c r="C48" i="14"/>
  <c r="BV56" i="14" l="1"/>
  <c r="BY56" i="14"/>
  <c r="AS12" i="14"/>
  <c r="F48" i="14"/>
  <c r="E49" i="14" l="1"/>
  <c r="B49" i="14"/>
  <c r="BX56" i="14"/>
  <c r="BW56" i="14" s="1"/>
  <c r="DU12" i="14" s="1"/>
  <c r="BZ56" i="14" l="1"/>
  <c r="D49" i="14"/>
  <c r="C49" i="14" s="1"/>
  <c r="AT12" i="14" s="1"/>
  <c r="F49" i="14" l="1"/>
  <c r="AT13" i="14"/>
  <c r="AT76" i="3" s="1"/>
  <c r="BV57" i="14"/>
  <c r="BY57" i="14"/>
  <c r="BX57" i="14" l="1"/>
  <c r="BW57" i="14" s="1"/>
  <c r="E50" i="14"/>
  <c r="B50" i="14"/>
  <c r="DV12" i="14" l="1"/>
  <c r="BZ57" i="14"/>
  <c r="D50" i="14"/>
  <c r="C50" i="14" s="1"/>
  <c r="AU12" i="14" s="1"/>
  <c r="AU13" i="14" l="1"/>
  <c r="AU76" i="3" s="1"/>
  <c r="F50" i="14"/>
  <c r="BV58" i="14"/>
  <c r="BY58" i="14"/>
  <c r="B51" i="14" l="1"/>
  <c r="E51" i="14"/>
  <c r="BX58" i="14"/>
  <c r="BW58" i="14" s="1"/>
  <c r="DW12" i="14" l="1"/>
  <c r="BZ58" i="14"/>
  <c r="BV59" i="14" s="1"/>
  <c r="D51" i="14"/>
  <c r="BY59" i="14" l="1"/>
  <c r="BX59" i="14" s="1"/>
  <c r="BW59" i="14" s="1"/>
  <c r="AV13" i="14"/>
  <c r="AV76" i="3" s="1"/>
  <c r="C51" i="14"/>
  <c r="DX12" i="14" l="1"/>
  <c r="BZ59" i="14"/>
  <c r="AV12" i="14"/>
  <c r="F51" i="14"/>
  <c r="E52" i="14" l="1"/>
  <c r="B52" i="14"/>
  <c r="BV60" i="14"/>
  <c r="BY60" i="14"/>
  <c r="BX60" i="14" l="1"/>
  <c r="BW60" i="14" s="1"/>
  <c r="DY12" i="14" s="1"/>
  <c r="D52" i="14"/>
  <c r="C52" i="14" s="1"/>
  <c r="AW12" i="14" s="1"/>
  <c r="BZ60" i="14" l="1"/>
  <c r="AW13" i="14"/>
  <c r="AW76" i="3" s="1"/>
  <c r="F52" i="14"/>
  <c r="B53" i="14" l="1"/>
  <c r="E53" i="14"/>
  <c r="BV61" i="14"/>
  <c r="BY61" i="14"/>
  <c r="BX61" i="14" l="1"/>
  <c r="BW61" i="14" s="1"/>
  <c r="D53" i="14"/>
  <c r="C53" i="14" s="1"/>
  <c r="AX12" i="14" s="1"/>
  <c r="DZ12" i="14" l="1"/>
  <c r="BZ61" i="14"/>
  <c r="AX13" i="14"/>
  <c r="AX76" i="3" s="1"/>
  <c r="F53" i="14"/>
  <c r="E54" i="14" l="1"/>
  <c r="B54" i="14"/>
  <c r="BV62" i="14"/>
  <c r="BY62" i="14"/>
  <c r="BX62" i="14" l="1"/>
  <c r="BW62" i="14" s="1"/>
  <c r="EA12" i="14" s="1"/>
  <c r="D54" i="14"/>
  <c r="C54" i="14" s="1"/>
  <c r="AY12" i="14" s="1"/>
  <c r="BZ62" i="14" l="1"/>
  <c r="F54" i="14"/>
  <c r="AY13" i="14"/>
  <c r="AY76" i="3" s="1"/>
  <c r="B55" i="14" l="1"/>
  <c r="E55" i="14"/>
  <c r="BV63" i="14"/>
  <c r="BY63" i="14"/>
  <c r="D55" i="14" l="1"/>
  <c r="C55" i="14" s="1"/>
  <c r="AZ12" i="14" s="1"/>
  <c r="BX63" i="14"/>
  <c r="BW63" i="14" s="1"/>
  <c r="EB12" i="14" l="1"/>
  <c r="BZ63" i="14"/>
  <c r="AZ13" i="14"/>
  <c r="AZ76" i="3" s="1"/>
  <c r="F55" i="14"/>
  <c r="BV64" i="14" l="1"/>
  <c r="BY64" i="14"/>
  <c r="E56" i="14"/>
  <c r="B56" i="14"/>
  <c r="D56" i="14" l="1"/>
  <c r="BX64" i="14"/>
  <c r="BW64" i="14" s="1"/>
  <c r="EC12" i="14" l="1"/>
  <c r="BZ64" i="14"/>
  <c r="BA13" i="14"/>
  <c r="BA76" i="3" s="1"/>
  <c r="C56" i="14"/>
  <c r="BV65" i="14" l="1"/>
  <c r="BY65" i="14"/>
  <c r="BA12" i="14"/>
  <c r="F56" i="14"/>
  <c r="B57" i="14" l="1"/>
  <c r="E57" i="14"/>
  <c r="BX65" i="14"/>
  <c r="BW65" i="14" s="1"/>
  <c r="ED12" i="14" l="1"/>
  <c r="BZ65" i="14"/>
  <c r="D57" i="14"/>
  <c r="C57" i="14" s="1"/>
  <c r="BB12" i="14" s="1"/>
  <c r="BB13" i="14" l="1"/>
  <c r="BB76" i="3" s="1"/>
  <c r="F57" i="14"/>
  <c r="BV66" i="14"/>
  <c r="BY66" i="14"/>
  <c r="E58" i="14" l="1"/>
  <c r="B58" i="14"/>
  <c r="BX66" i="14"/>
  <c r="BW66" i="14" s="1"/>
  <c r="EE12" i="14" l="1"/>
  <c r="BZ66" i="14"/>
  <c r="D58" i="14"/>
  <c r="BC13" i="14" l="1"/>
  <c r="BC76" i="3" s="1"/>
  <c r="BV67" i="14"/>
  <c r="BY67" i="14"/>
  <c r="C58" i="14"/>
  <c r="BX67" i="14" l="1"/>
  <c r="BW67" i="14" s="1"/>
  <c r="BC12" i="14"/>
  <c r="F58" i="14"/>
  <c r="EF12" i="14" l="1"/>
  <c r="BZ67" i="14"/>
  <c r="B59" i="14"/>
  <c r="E59" i="14"/>
  <c r="D59" i="14" l="1"/>
  <c r="C59" i="14" s="1"/>
  <c r="BV68" i="14"/>
  <c r="BY68" i="14"/>
  <c r="BD12" i="14" l="1"/>
  <c r="F59" i="14"/>
  <c r="BD13" i="14"/>
  <c r="BD76" i="3" s="1"/>
  <c r="BX68" i="14"/>
  <c r="BW68" i="14" s="1"/>
  <c r="EG12" i="14" s="1"/>
  <c r="BZ68" i="14" l="1"/>
  <c r="E60" i="14"/>
  <c r="B60" i="14"/>
  <c r="D60" i="14" l="1"/>
  <c r="BV69" i="14"/>
  <c r="BY69" i="14"/>
  <c r="BE13" i="14" l="1"/>
  <c r="BF76" i="3" s="1"/>
  <c r="BX69" i="14"/>
  <c r="BW69" i="14" s="1"/>
  <c r="C60" i="14"/>
  <c r="EH12" i="14" l="1"/>
  <c r="BZ69" i="14"/>
  <c r="BE12" i="14"/>
  <c r="F60" i="14"/>
  <c r="B61" i="14" l="1"/>
  <c r="E61" i="14"/>
  <c r="BV70" i="14"/>
  <c r="BY70" i="14"/>
  <c r="BX70" i="14" l="1"/>
  <c r="BW70" i="14" s="1"/>
  <c r="D61" i="14"/>
  <c r="C61" i="14" s="1"/>
  <c r="BF12" i="14" s="1"/>
  <c r="EI12" i="14" l="1"/>
  <c r="BZ70" i="14"/>
  <c r="BF13" i="14"/>
  <c r="BG76" i="3" s="1"/>
  <c r="F61" i="14"/>
  <c r="E62" i="14" l="1"/>
  <c r="B62" i="14"/>
  <c r="BV71" i="14"/>
  <c r="BY71" i="14"/>
  <c r="BX71" i="14" l="1"/>
  <c r="BW71" i="14" s="1"/>
  <c r="D62" i="14"/>
  <c r="C62" i="14" s="1"/>
  <c r="BG12" i="14" l="1"/>
  <c r="F62" i="14"/>
  <c r="EJ12" i="14"/>
  <c r="BZ71" i="14"/>
  <c r="BG13" i="14"/>
  <c r="BH76" i="3" s="1"/>
  <c r="BV72" i="14" l="1"/>
  <c r="BY72" i="14"/>
  <c r="B63" i="14"/>
  <c r="E63" i="14"/>
  <c r="D63" i="14" l="1"/>
  <c r="BX72" i="14"/>
  <c r="BW72" i="14" s="1"/>
  <c r="EK12" i="14" l="1"/>
  <c r="BZ72" i="14"/>
  <c r="BH13" i="14"/>
  <c r="BI76" i="3" s="1"/>
  <c r="C63" i="14"/>
  <c r="BH12" i="14" l="1"/>
  <c r="F63" i="14"/>
  <c r="BV73" i="14"/>
  <c r="BY73" i="14"/>
  <c r="BX73" i="14" l="1"/>
  <c r="BW73" i="14" s="1"/>
  <c r="BZ73" i="14" s="1"/>
  <c r="E64" i="14"/>
  <c r="B64" i="14"/>
  <c r="BV74" i="14" l="1"/>
  <c r="BY74" i="14"/>
  <c r="D64" i="14"/>
  <c r="BI13" i="14" l="1"/>
  <c r="BJ76" i="3" s="1"/>
  <c r="BX74" i="14"/>
  <c r="BW74" i="14" s="1"/>
  <c r="BZ74" i="14" s="1"/>
  <c r="C64" i="14"/>
  <c r="BV75" i="14" l="1"/>
  <c r="BY75" i="14"/>
  <c r="BI12" i="14"/>
  <c r="F64" i="14"/>
  <c r="B65" i="14" l="1"/>
  <c r="E65" i="14"/>
  <c r="BX75" i="14"/>
  <c r="BW75" i="14" s="1"/>
  <c r="BZ75" i="14" s="1"/>
  <c r="BV76" i="14" l="1"/>
  <c r="BY76" i="14"/>
  <c r="D65" i="14"/>
  <c r="BJ13" i="14" l="1"/>
  <c r="BK76" i="3" s="1"/>
  <c r="BX76" i="14"/>
  <c r="BW76" i="14" s="1"/>
  <c r="BZ76" i="14" s="1"/>
  <c r="C65" i="14"/>
  <c r="BV77" i="14" l="1"/>
  <c r="BY77" i="14"/>
  <c r="BJ12" i="14"/>
  <c r="F65" i="14"/>
  <c r="E66" i="14" l="1"/>
  <c r="B66" i="14"/>
  <c r="BX77" i="14"/>
  <c r="BW77" i="14" s="1"/>
  <c r="BZ77" i="14" s="1"/>
  <c r="BV78" i="14" l="1"/>
  <c r="BY78" i="14"/>
  <c r="D66" i="14"/>
  <c r="BX78" i="14" l="1"/>
  <c r="BK13" i="14"/>
  <c r="BL76" i="3" s="1"/>
  <c r="C66" i="14"/>
  <c r="BW78" i="14"/>
  <c r="BZ78" i="14" s="1"/>
  <c r="BV79" i="14" l="1"/>
  <c r="BY79" i="14"/>
  <c r="BK12" i="14"/>
  <c r="F66" i="14"/>
  <c r="B67" i="14" l="1"/>
  <c r="E67" i="14"/>
  <c r="BX79" i="14"/>
  <c r="BW79" i="14" s="1"/>
  <c r="BZ79" i="14" s="1"/>
  <c r="BV80" i="14" l="1"/>
  <c r="BY80" i="14"/>
  <c r="D67" i="14"/>
  <c r="C67" i="14" s="1"/>
  <c r="BL12" i="14" s="1"/>
  <c r="F67" i="14" l="1"/>
  <c r="BL13" i="14"/>
  <c r="BM76" i="3" s="1"/>
  <c r="BX80" i="14"/>
  <c r="BW80" i="14" s="1"/>
  <c r="BZ80" i="14" s="1"/>
  <c r="BV81" i="14" l="1"/>
  <c r="BY81" i="14"/>
  <c r="E68" i="14"/>
  <c r="B68" i="14"/>
  <c r="D68" i="14" l="1"/>
  <c r="C68" i="14" s="1"/>
  <c r="BX81" i="14"/>
  <c r="BW81" i="14" s="1"/>
  <c r="BZ81" i="14" s="1"/>
  <c r="BV82" i="14" l="1"/>
  <c r="BY82" i="14"/>
  <c r="BM12" i="14"/>
  <c r="F68" i="14"/>
  <c r="BM13" i="14"/>
  <c r="BN76" i="3" s="1"/>
  <c r="B69" i="14" l="1"/>
  <c r="E69" i="14"/>
  <c r="BX82" i="14"/>
  <c r="BW82" i="14" s="1"/>
  <c r="BZ82" i="14" s="1"/>
  <c r="BV83" i="14" l="1"/>
  <c r="BY83" i="14"/>
  <c r="D69" i="14"/>
  <c r="BN13" i="14" l="1"/>
  <c r="BO76" i="3" s="1"/>
  <c r="BX83" i="14"/>
  <c r="BW83" i="14" s="1"/>
  <c r="BZ83" i="14" s="1"/>
  <c r="C69" i="14"/>
  <c r="BV84" i="14" l="1"/>
  <c r="BY84" i="14"/>
  <c r="BN12" i="14"/>
  <c r="F69" i="14"/>
  <c r="E70" i="14" l="1"/>
  <c r="B70" i="14"/>
  <c r="BX84" i="14"/>
  <c r="BW84" i="14" s="1"/>
  <c r="BZ84" i="14" s="1"/>
  <c r="BV85" i="14" l="1"/>
  <c r="BY85" i="14"/>
  <c r="D70" i="14"/>
  <c r="C70" i="14" s="1"/>
  <c r="BO12" i="14" l="1"/>
  <c r="F70" i="14"/>
  <c r="BX85" i="14"/>
  <c r="BW85" i="14" s="1"/>
  <c r="BZ85" i="14" s="1"/>
  <c r="BO13" i="14"/>
  <c r="BP76" i="3" s="1"/>
  <c r="BV86" i="14" l="1"/>
  <c r="BY86" i="14"/>
  <c r="B71" i="14"/>
  <c r="E71" i="14"/>
  <c r="BX86" i="14" l="1"/>
  <c r="BW86" i="14" s="1"/>
  <c r="BZ86" i="14" s="1"/>
  <c r="D71" i="14"/>
  <c r="BV87" i="14" l="1"/>
  <c r="BY87" i="14"/>
  <c r="BP13" i="14"/>
  <c r="BQ76" i="3" s="1"/>
  <c r="C71" i="14"/>
  <c r="BX87" i="14" l="1"/>
  <c r="BW87" i="14" s="1"/>
  <c r="BZ87" i="14" s="1"/>
  <c r="BP12" i="14"/>
  <c r="F71" i="14"/>
  <c r="BV88" i="14" l="1"/>
  <c r="BY88" i="14"/>
  <c r="E72" i="14"/>
  <c r="B72" i="14"/>
  <c r="BX88" i="14" l="1"/>
  <c r="BW88" i="14" s="1"/>
  <c r="BZ88" i="14" s="1"/>
  <c r="D72" i="14"/>
  <c r="BV89" i="14" l="1"/>
  <c r="BY89" i="14"/>
  <c r="BQ13" i="14"/>
  <c r="C72" i="14"/>
  <c r="AJ77" i="3" l="1"/>
  <c r="AJ79" i="3" s="1"/>
  <c r="AN34" i="4"/>
  <c r="AB77" i="3"/>
  <c r="AB79" i="3" s="1"/>
  <c r="AA34" i="4"/>
  <c r="X77" i="3"/>
  <c r="X79" i="3" s="1"/>
  <c r="BG77" i="3"/>
  <c r="BG79" i="3" s="1"/>
  <c r="W77" i="3"/>
  <c r="W79" i="3" s="1"/>
  <c r="BP34" i="4"/>
  <c r="AI77" i="3"/>
  <c r="AI79" i="3" s="1"/>
  <c r="BR34" i="4"/>
  <c r="AG77" i="3"/>
  <c r="AG79" i="3" s="1"/>
  <c r="AG34" i="4"/>
  <c r="BI34" i="4"/>
  <c r="AO77" i="3"/>
  <c r="AO79" i="3" s="1"/>
  <c r="BO34" i="4"/>
  <c r="T34" i="4"/>
  <c r="V34" i="4"/>
  <c r="BO77" i="3"/>
  <c r="BO79" i="3" s="1"/>
  <c r="AH34" i="4"/>
  <c r="BD77" i="3"/>
  <c r="BD79" i="3" s="1"/>
  <c r="X34" i="4"/>
  <c r="BC34" i="4"/>
  <c r="AK34" i="4"/>
  <c r="V77" i="3"/>
  <c r="V79" i="3" s="1"/>
  <c r="BL34" i="4"/>
  <c r="AM34" i="4"/>
  <c r="AX77" i="3"/>
  <c r="AX79" i="3" s="1"/>
  <c r="BK77" i="3"/>
  <c r="BK79" i="3" s="1"/>
  <c r="AW34" i="4"/>
  <c r="BQ77" i="3"/>
  <c r="BQ79" i="3" s="1"/>
  <c r="Z34" i="4"/>
  <c r="BB34" i="4"/>
  <c r="AL34" i="4"/>
  <c r="AP34" i="4"/>
  <c r="BB77" i="3"/>
  <c r="BB79" i="3" s="1"/>
  <c r="AM77" i="3"/>
  <c r="AM79" i="3" s="1"/>
  <c r="T77" i="3"/>
  <c r="T79" i="3" s="1"/>
  <c r="Z77" i="3"/>
  <c r="Z79" i="3" s="1"/>
  <c r="AQ34" i="4"/>
  <c r="BL77" i="3"/>
  <c r="BL79" i="3" s="1"/>
  <c r="AU77" i="3"/>
  <c r="AU79" i="3" s="1"/>
  <c r="AW77" i="3"/>
  <c r="AW79" i="3" s="1"/>
  <c r="AZ77" i="3"/>
  <c r="AZ79" i="3" s="1"/>
  <c r="AJ34" i="4"/>
  <c r="BC77" i="3"/>
  <c r="BC79" i="3" s="1"/>
  <c r="BP77" i="3"/>
  <c r="BP79" i="3" s="1"/>
  <c r="AZ34" i="4"/>
  <c r="AK77" i="3"/>
  <c r="AK79" i="3" s="1"/>
  <c r="Y34" i="4"/>
  <c r="AO34" i="4"/>
  <c r="AD77" i="3"/>
  <c r="AD79" i="3" s="1"/>
  <c r="BM77" i="3"/>
  <c r="BM79" i="3" s="1"/>
  <c r="AT77" i="3"/>
  <c r="AT79" i="3" s="1"/>
  <c r="BA77" i="3"/>
  <c r="BA79" i="3" s="1"/>
  <c r="W34" i="4"/>
  <c r="U77" i="3"/>
  <c r="U79" i="3" s="1"/>
  <c r="AP77" i="3"/>
  <c r="AP79" i="3" s="1"/>
  <c r="AD34" i="4"/>
  <c r="BH77" i="3"/>
  <c r="BH79" i="3" s="1"/>
  <c r="AR34" i="4"/>
  <c r="AC34" i="4"/>
  <c r="Y77" i="3"/>
  <c r="Y79" i="3" s="1"/>
  <c r="BJ34" i="4"/>
  <c r="AN77" i="3"/>
  <c r="AN79" i="3" s="1"/>
  <c r="BI77" i="3"/>
  <c r="BI79" i="3" s="1"/>
  <c r="BA34" i="4"/>
  <c r="BG34" i="4"/>
  <c r="BJ77" i="3"/>
  <c r="BJ79" i="3" s="1"/>
  <c r="BH34" i="4"/>
  <c r="AY77" i="3"/>
  <c r="AY79" i="3" s="1"/>
  <c r="AH77" i="3"/>
  <c r="AH79" i="3" s="1"/>
  <c r="BN77" i="3"/>
  <c r="BN79" i="3" s="1"/>
  <c r="BE34" i="4"/>
  <c r="BK34" i="4"/>
  <c r="AB34" i="4"/>
  <c r="AY34" i="4"/>
  <c r="AV77" i="3"/>
  <c r="AV79" i="3" s="1"/>
  <c r="U34" i="4"/>
  <c r="AC77" i="3"/>
  <c r="AC79" i="3" s="1"/>
  <c r="BN34" i="4"/>
  <c r="AT34" i="4"/>
  <c r="AA77" i="3"/>
  <c r="AA79" i="3" s="1"/>
  <c r="BD34" i="4"/>
  <c r="AV34" i="4"/>
  <c r="AU34" i="4"/>
  <c r="AQ77" i="3"/>
  <c r="AQ79" i="3" s="1"/>
  <c r="AL77" i="3"/>
  <c r="AL79" i="3" s="1"/>
  <c r="BM34" i="4"/>
  <c r="AX34" i="4"/>
  <c r="AE34" i="4"/>
  <c r="AE38" i="4" s="1"/>
  <c r="AI34" i="4"/>
  <c r="BQ34" i="4"/>
  <c r="BX89" i="14"/>
  <c r="BW89" i="14" s="1"/>
  <c r="BZ89" i="14" s="1"/>
  <c r="BQ12" i="14"/>
  <c r="F72" i="14"/>
  <c r="BY90" i="14" l="1"/>
  <c r="BV90" i="14"/>
  <c r="AX38" i="4"/>
  <c r="B73" i="14"/>
  <c r="E73" i="14"/>
  <c r="BQ38" i="4"/>
  <c r="BM38" i="4"/>
  <c r="AV38" i="4"/>
  <c r="BR76" i="3"/>
  <c r="BF77" i="3"/>
  <c r="BF79" i="3" s="1"/>
  <c r="BR79" i="3" s="1"/>
  <c r="BE38" i="4"/>
  <c r="BH38" i="4"/>
  <c r="AC38" i="4"/>
  <c r="AS77" i="3"/>
  <c r="AS79" i="3" s="1"/>
  <c r="BE79" i="3" s="1"/>
  <c r="BE76" i="3"/>
  <c r="AZ38" i="4"/>
  <c r="AE76" i="3"/>
  <c r="S77" i="3"/>
  <c r="S79" i="3" s="1"/>
  <c r="AE79" i="3" s="1"/>
  <c r="BB38" i="4"/>
  <c r="T38" i="4"/>
  <c r="I131" i="1"/>
  <c r="I135" i="1" s="1"/>
  <c r="S33" i="2"/>
  <c r="S34" i="2" s="1"/>
  <c r="S36" i="2" s="1"/>
  <c r="AG38" i="4"/>
  <c r="L131" i="1"/>
  <c r="L135" i="1" s="1"/>
  <c r="BP38" i="4"/>
  <c r="AA38" i="4"/>
  <c r="AI38" i="4"/>
  <c r="BD38" i="4"/>
  <c r="BN38" i="4"/>
  <c r="AY38" i="4"/>
  <c r="AR38" i="4"/>
  <c r="AO38" i="4"/>
  <c r="AQ38" i="4"/>
  <c r="Z38" i="4"/>
  <c r="AK38" i="4"/>
  <c r="AH38" i="4"/>
  <c r="BO38" i="4"/>
  <c r="AB38" i="4"/>
  <c r="BG38" i="4"/>
  <c r="R131" i="1"/>
  <c r="R135" i="1" s="1"/>
  <c r="BJ38" i="4"/>
  <c r="AR76" i="3"/>
  <c r="AF77" i="3"/>
  <c r="AF79" i="3" s="1"/>
  <c r="AR79" i="3" s="1"/>
  <c r="Y38" i="4"/>
  <c r="AP38" i="4"/>
  <c r="AM38" i="4"/>
  <c r="BC38" i="4"/>
  <c r="BR38" i="4"/>
  <c r="AN38" i="4"/>
  <c r="AU38" i="4"/>
  <c r="AT38" i="4"/>
  <c r="O131" i="1"/>
  <c r="O135" i="1" s="1"/>
  <c r="U38" i="4"/>
  <c r="BK38" i="4"/>
  <c r="BA38" i="4"/>
  <c r="AD38" i="4"/>
  <c r="W38" i="4"/>
  <c r="AJ38" i="4"/>
  <c r="AL38" i="4"/>
  <c r="AW38" i="4"/>
  <c r="BL38" i="4"/>
  <c r="X38" i="4"/>
  <c r="V38" i="4"/>
  <c r="BI38" i="4"/>
  <c r="BJ81" i="3" l="1"/>
  <c r="BJ83" i="3" s="1"/>
  <c r="BK7" i="4" s="1"/>
  <c r="BK23" i="4" s="1"/>
  <c r="BK40" i="4" s="1"/>
  <c r="BN81" i="3"/>
  <c r="BN83" i="3" s="1"/>
  <c r="BO7" i="4" s="1"/>
  <c r="BO23" i="4" s="1"/>
  <c r="BO40" i="4" s="1"/>
  <c r="BF81" i="3"/>
  <c r="BF83" i="3" s="1"/>
  <c r="BQ81" i="3"/>
  <c r="BQ83" i="3" s="1"/>
  <c r="BR7" i="4" s="1"/>
  <c r="BR23" i="4" s="1"/>
  <c r="BR40" i="4" s="1"/>
  <c r="BG81" i="3"/>
  <c r="BG83" i="3" s="1"/>
  <c r="BH7" i="4" s="1"/>
  <c r="BH23" i="4" s="1"/>
  <c r="BH40" i="4" s="1"/>
  <c r="BK81" i="3"/>
  <c r="BK83" i="3" s="1"/>
  <c r="BL7" i="4" s="1"/>
  <c r="BL23" i="4" s="1"/>
  <c r="BL40" i="4" s="1"/>
  <c r="BO81" i="3"/>
  <c r="BO83" i="3" s="1"/>
  <c r="BP7" i="4" s="1"/>
  <c r="BP23" i="4" s="1"/>
  <c r="BP40" i="4" s="1"/>
  <c r="BM81" i="3"/>
  <c r="BM83" i="3" s="1"/>
  <c r="BN7" i="4" s="1"/>
  <c r="BN23" i="4" s="1"/>
  <c r="BN40" i="4" s="1"/>
  <c r="BH81" i="3"/>
  <c r="BH83" i="3" s="1"/>
  <c r="BI7" i="4" s="1"/>
  <c r="BI23" i="4" s="1"/>
  <c r="BI40" i="4" s="1"/>
  <c r="BL81" i="3"/>
  <c r="BL83" i="3" s="1"/>
  <c r="BM7" i="4" s="1"/>
  <c r="BM23" i="4" s="1"/>
  <c r="BM40" i="4" s="1"/>
  <c r="BP81" i="3"/>
  <c r="BP83" i="3" s="1"/>
  <c r="BQ7" i="4" s="1"/>
  <c r="BQ23" i="4" s="1"/>
  <c r="BQ40" i="4" s="1"/>
  <c r="BI81" i="3"/>
  <c r="AM81" i="3"/>
  <c r="AI81" i="3"/>
  <c r="AI83" i="3" s="1"/>
  <c r="AJ7" i="4" s="1"/>
  <c r="AJ23" i="4" s="1"/>
  <c r="AJ40" i="4" s="1"/>
  <c r="AQ81" i="3"/>
  <c r="AQ83" i="3" s="1"/>
  <c r="AR7" i="4" s="1"/>
  <c r="AR23" i="4" s="1"/>
  <c r="AR40" i="4" s="1"/>
  <c r="AP81" i="3"/>
  <c r="AP83" i="3" s="1"/>
  <c r="AQ7" i="4" s="1"/>
  <c r="AQ23" i="4" s="1"/>
  <c r="AQ40" i="4" s="1"/>
  <c r="AL81" i="3"/>
  <c r="AL83" i="3" s="1"/>
  <c r="AM7" i="4" s="1"/>
  <c r="AM23" i="4" s="1"/>
  <c r="AM40" i="4" s="1"/>
  <c r="AH81" i="3"/>
  <c r="AH83" i="3" s="1"/>
  <c r="AI7" i="4" s="1"/>
  <c r="AI23" i="4" s="1"/>
  <c r="AI40" i="4" s="1"/>
  <c r="AJ81" i="3"/>
  <c r="AJ83" i="3" s="1"/>
  <c r="AK7" i="4" s="1"/>
  <c r="AK23" i="4" s="1"/>
  <c r="AK40" i="4" s="1"/>
  <c r="AO81" i="3"/>
  <c r="AO83" i="3" s="1"/>
  <c r="AP7" i="4" s="1"/>
  <c r="AP23" i="4" s="1"/>
  <c r="AP40" i="4" s="1"/>
  <c r="AK81" i="3"/>
  <c r="AK83" i="3" s="1"/>
  <c r="AL7" i="4" s="1"/>
  <c r="AL23" i="4" s="1"/>
  <c r="AL40" i="4" s="1"/>
  <c r="AG81" i="3"/>
  <c r="AG83" i="3" s="1"/>
  <c r="AH7" i="4" s="1"/>
  <c r="AH23" i="4" s="1"/>
  <c r="AH40" i="4" s="1"/>
  <c r="AN81" i="3"/>
  <c r="AN83" i="3" s="1"/>
  <c r="AO7" i="4" s="1"/>
  <c r="AO23" i="4" s="1"/>
  <c r="AO40" i="4" s="1"/>
  <c r="AF81" i="3"/>
  <c r="AF83" i="3" s="1"/>
  <c r="AV81" i="3"/>
  <c r="AZ81" i="3"/>
  <c r="AZ83" i="3" s="1"/>
  <c r="BA7" i="4" s="1"/>
  <c r="BA23" i="4" s="1"/>
  <c r="BA40" i="4" s="1"/>
  <c r="BD81" i="3"/>
  <c r="BD83" i="3" s="1"/>
  <c r="BE7" i="4" s="1"/>
  <c r="BE23" i="4" s="1"/>
  <c r="BE40" i="4" s="1"/>
  <c r="AS81" i="3"/>
  <c r="AS83" i="3" s="1"/>
  <c r="AW81" i="3"/>
  <c r="AW83" i="3" s="1"/>
  <c r="AX7" i="4" s="1"/>
  <c r="AX23" i="4" s="1"/>
  <c r="AX40" i="4" s="1"/>
  <c r="BA81" i="3"/>
  <c r="BA83" i="3" s="1"/>
  <c r="BB7" i="4" s="1"/>
  <c r="BB23" i="4" s="1"/>
  <c r="BB40" i="4" s="1"/>
  <c r="AU81" i="3"/>
  <c r="AU83" i="3" s="1"/>
  <c r="AV7" i="4" s="1"/>
  <c r="AV23" i="4" s="1"/>
  <c r="AV40" i="4" s="1"/>
  <c r="BC81" i="3"/>
  <c r="BC83" i="3" s="1"/>
  <c r="BD7" i="4" s="1"/>
  <c r="BD23" i="4" s="1"/>
  <c r="BD40" i="4" s="1"/>
  <c r="AT81" i="3"/>
  <c r="AT83" i="3" s="1"/>
  <c r="AU7" i="4" s="1"/>
  <c r="AU23" i="4" s="1"/>
  <c r="AU40" i="4" s="1"/>
  <c r="AX81" i="3"/>
  <c r="AX83" i="3" s="1"/>
  <c r="AY7" i="4" s="1"/>
  <c r="AY23" i="4" s="1"/>
  <c r="AY40" i="4" s="1"/>
  <c r="BB81" i="3"/>
  <c r="BB83" i="3" s="1"/>
  <c r="BC7" i="4" s="1"/>
  <c r="BC23" i="4" s="1"/>
  <c r="BC40" i="4" s="1"/>
  <c r="AY81" i="3"/>
  <c r="AY83" i="3" s="1"/>
  <c r="AZ7" i="4" s="1"/>
  <c r="AZ23" i="4" s="1"/>
  <c r="AZ40" i="4" s="1"/>
  <c r="AM83" i="3"/>
  <c r="AN7" i="4" s="1"/>
  <c r="AN23" i="4" s="1"/>
  <c r="AN40" i="4" s="1"/>
  <c r="T81" i="3"/>
  <c r="T83" i="3" s="1"/>
  <c r="U7" i="4" s="1"/>
  <c r="U23" i="4" s="1"/>
  <c r="U40" i="4" s="1"/>
  <c r="X81" i="3"/>
  <c r="X83" i="3" s="1"/>
  <c r="Y7" i="4" s="1"/>
  <c r="Y23" i="4" s="1"/>
  <c r="Y40" i="4" s="1"/>
  <c r="AB81" i="3"/>
  <c r="AB83" i="3" s="1"/>
  <c r="AC7" i="4" s="1"/>
  <c r="AC23" i="4" s="1"/>
  <c r="AC40" i="4" s="1"/>
  <c r="W81" i="3"/>
  <c r="S81" i="3"/>
  <c r="S83" i="3" s="1"/>
  <c r="U81" i="3"/>
  <c r="U83" i="3" s="1"/>
  <c r="V7" i="4" s="1"/>
  <c r="V23" i="4" s="1"/>
  <c r="V40" i="4" s="1"/>
  <c r="Y81" i="3"/>
  <c r="Y83" i="3" s="1"/>
  <c r="Z7" i="4" s="1"/>
  <c r="Z23" i="4" s="1"/>
  <c r="Z40" i="4" s="1"/>
  <c r="AC81" i="3"/>
  <c r="AC83" i="3" s="1"/>
  <c r="AD7" i="4" s="1"/>
  <c r="AD23" i="4" s="1"/>
  <c r="AD40" i="4" s="1"/>
  <c r="V81" i="3"/>
  <c r="V83" i="3" s="1"/>
  <c r="W7" i="4" s="1"/>
  <c r="W23" i="4" s="1"/>
  <c r="W40" i="4" s="1"/>
  <c r="Z81" i="3"/>
  <c r="Z83" i="3" s="1"/>
  <c r="AA7" i="4" s="1"/>
  <c r="AA23" i="4" s="1"/>
  <c r="AA40" i="4" s="1"/>
  <c r="AD81" i="3"/>
  <c r="AD83" i="3" s="1"/>
  <c r="AE7" i="4" s="1"/>
  <c r="AE23" i="4" s="1"/>
  <c r="AE40" i="4" s="1"/>
  <c r="AA81" i="3"/>
  <c r="AA83" i="3" s="1"/>
  <c r="AB7" i="4" s="1"/>
  <c r="AB23" i="4" s="1"/>
  <c r="AB40" i="4" s="1"/>
  <c r="T33" i="2"/>
  <c r="T34" i="2" s="1"/>
  <c r="T36" i="2" s="1"/>
  <c r="L93" i="1"/>
  <c r="AR77" i="3"/>
  <c r="BE77" i="3"/>
  <c r="O93" i="1"/>
  <c r="D73" i="14"/>
  <c r="C73" i="14" s="1"/>
  <c r="F73" i="14" s="1"/>
  <c r="AE77" i="3"/>
  <c r="I93" i="1"/>
  <c r="BS76" i="3"/>
  <c r="BS77" i="3" s="1"/>
  <c r="BS79" i="3" s="1"/>
  <c r="BR77" i="3"/>
  <c r="R93" i="1"/>
  <c r="BX90" i="14"/>
  <c r="BW90" i="14" s="1"/>
  <c r="BZ90" i="14" s="1"/>
  <c r="L14" i="12" l="1"/>
  <c r="K16" i="12"/>
  <c r="L16" i="12" s="1"/>
  <c r="F14" i="12"/>
  <c r="E16" i="12"/>
  <c r="F16" i="12" s="1"/>
  <c r="H14" i="12"/>
  <c r="G16" i="12"/>
  <c r="H16" i="12" s="1"/>
  <c r="J14" i="12"/>
  <c r="I16" i="12"/>
  <c r="J16" i="12" s="1"/>
  <c r="BR81" i="3"/>
  <c r="K17" i="12" s="1"/>
  <c r="L17" i="12" s="1"/>
  <c r="BI83" i="3"/>
  <c r="BJ7" i="4" s="1"/>
  <c r="BJ23" i="4" s="1"/>
  <c r="BJ40" i="4" s="1"/>
  <c r="BE81" i="3"/>
  <c r="I17" i="12" s="1"/>
  <c r="J17" i="12" s="1"/>
  <c r="AV83" i="3"/>
  <c r="AW7" i="4" s="1"/>
  <c r="AW23" i="4" s="1"/>
  <c r="AW40" i="4" s="1"/>
  <c r="AR81" i="3"/>
  <c r="G17" i="12" s="1"/>
  <c r="H17" i="12" s="1"/>
  <c r="AE81" i="3"/>
  <c r="E17" i="12" s="1"/>
  <c r="F17" i="12" s="1"/>
  <c r="W83" i="3"/>
  <c r="X7" i="4" s="1"/>
  <c r="X23" i="4" s="1"/>
  <c r="X40" i="4" s="1"/>
  <c r="U33" i="2"/>
  <c r="U34" i="2" s="1"/>
  <c r="U36" i="2" s="1"/>
  <c r="AG7" i="4"/>
  <c r="E74" i="14"/>
  <c r="B74" i="14"/>
  <c r="BV91" i="14"/>
  <c r="BY91" i="14"/>
  <c r="AT7" i="4"/>
  <c r="BG7" i="4"/>
  <c r="S93" i="1"/>
  <c r="R96" i="1"/>
  <c r="P93" i="1"/>
  <c r="O96" i="1"/>
  <c r="R94" i="1"/>
  <c r="S94" i="1" s="1"/>
  <c r="J93" i="1"/>
  <c r="I96" i="1"/>
  <c r="O94" i="1"/>
  <c r="P94" i="1" s="1"/>
  <c r="I94" i="1"/>
  <c r="J94" i="1" s="1"/>
  <c r="L94" i="1"/>
  <c r="M94" i="1" s="1"/>
  <c r="S85" i="3"/>
  <c r="T85" i="3" s="1"/>
  <c r="U85" i="3" s="1"/>
  <c r="V85" i="3" s="1"/>
  <c r="S41" i="2"/>
  <c r="T7" i="4"/>
  <c r="M93" i="1"/>
  <c r="L96" i="1"/>
  <c r="W85" i="3" l="1"/>
  <c r="X85" i="3" s="1"/>
  <c r="Y85" i="3" s="1"/>
  <c r="Z85" i="3" s="1"/>
  <c r="AA85" i="3" s="1"/>
  <c r="AB85" i="3" s="1"/>
  <c r="AC85" i="3" s="1"/>
  <c r="AD85" i="3" s="1"/>
  <c r="AF85" i="3" s="1"/>
  <c r="AG85" i="3" s="1"/>
  <c r="AH85" i="3" s="1"/>
  <c r="AI85" i="3" s="1"/>
  <c r="AJ85" i="3" s="1"/>
  <c r="AK85" i="3" s="1"/>
  <c r="AL85" i="3" s="1"/>
  <c r="AM85" i="3" s="1"/>
  <c r="AN85" i="3" s="1"/>
  <c r="AO85" i="3" s="1"/>
  <c r="AP85" i="3" s="1"/>
  <c r="AQ85" i="3" s="1"/>
  <c r="AS85" i="3" s="1"/>
  <c r="AT85" i="3" s="1"/>
  <c r="AU85" i="3" s="1"/>
  <c r="AV85" i="3" s="1"/>
  <c r="AW85" i="3" s="1"/>
  <c r="AX85" i="3" s="1"/>
  <c r="AY85" i="3" s="1"/>
  <c r="AZ85" i="3" s="1"/>
  <c r="BA85" i="3" s="1"/>
  <c r="BB85" i="3" s="1"/>
  <c r="BC85" i="3" s="1"/>
  <c r="BD85" i="3" s="1"/>
  <c r="BF85" i="3" s="1"/>
  <c r="BG85" i="3" s="1"/>
  <c r="BH85" i="3" s="1"/>
  <c r="BI85" i="3" s="1"/>
  <c r="BJ85" i="3" s="1"/>
  <c r="BK85" i="3" s="1"/>
  <c r="BL85" i="3" s="1"/>
  <c r="BM85" i="3" s="1"/>
  <c r="BN85" i="3" s="1"/>
  <c r="BO85" i="3" s="1"/>
  <c r="BP85" i="3" s="1"/>
  <c r="BQ85" i="3" s="1"/>
  <c r="V33" i="2"/>
  <c r="V34" i="2" s="1"/>
  <c r="V36" i="2" s="1"/>
  <c r="T23" i="4"/>
  <c r="T40" i="4" s="1"/>
  <c r="I107" i="1"/>
  <c r="I123" i="1" s="1"/>
  <c r="I137" i="1" s="1"/>
  <c r="BG23" i="4"/>
  <c r="BG40" i="4" s="1"/>
  <c r="R107" i="1"/>
  <c r="R123" i="1" s="1"/>
  <c r="R137" i="1" s="1"/>
  <c r="D74" i="14"/>
  <c r="C74" i="14" s="1"/>
  <c r="F74" i="14" s="1"/>
  <c r="S42" i="2"/>
  <c r="S44" i="2" s="1"/>
  <c r="T41" i="2"/>
  <c r="L98" i="1"/>
  <c r="O98" i="1"/>
  <c r="O100" i="1" s="1"/>
  <c r="P100" i="1" s="1"/>
  <c r="R98" i="1"/>
  <c r="R100" i="1" s="1"/>
  <c r="S100" i="1" s="1"/>
  <c r="P96" i="1"/>
  <c r="BX91" i="14"/>
  <c r="BW91" i="14" s="1"/>
  <c r="BZ91" i="14" s="1"/>
  <c r="AG23" i="4"/>
  <c r="AG40" i="4" s="1"/>
  <c r="L107" i="1"/>
  <c r="L123" i="1" s="1"/>
  <c r="L137" i="1" s="1"/>
  <c r="M96" i="1"/>
  <c r="AT23" i="4"/>
  <c r="AT40" i="4" s="1"/>
  <c r="O107" i="1"/>
  <c r="O123" i="1" s="1"/>
  <c r="O137" i="1" s="1"/>
  <c r="J96" i="1"/>
  <c r="S96" i="1"/>
  <c r="W33" i="2" l="1"/>
  <c r="X33" i="2" s="1"/>
  <c r="BR83" i="3"/>
  <c r="BE83" i="3"/>
  <c r="B75" i="14"/>
  <c r="E75" i="14"/>
  <c r="BY92" i="14"/>
  <c r="BV92" i="14"/>
  <c r="L144" i="1"/>
  <c r="R144" i="1"/>
  <c r="I140" i="1"/>
  <c r="L138" i="1" s="1"/>
  <c r="L140" i="1" s="1"/>
  <c r="O138" i="1" s="1"/>
  <c r="O140" i="1" s="1"/>
  <c r="R138" i="1" s="1"/>
  <c r="R140" i="1" s="1"/>
  <c r="I144" i="1"/>
  <c r="P98" i="1"/>
  <c r="I98" i="1"/>
  <c r="BS81" i="3"/>
  <c r="BS83" i="3" s="1"/>
  <c r="M98" i="1"/>
  <c r="T42" i="2"/>
  <c r="T44" i="2" s="1"/>
  <c r="U41" i="2"/>
  <c r="O144" i="1"/>
  <c r="L100" i="1"/>
  <c r="M100" i="1" s="1"/>
  <c r="S98" i="1"/>
  <c r="AE83" i="3"/>
  <c r="AR83" i="3"/>
  <c r="W34" i="2" l="1"/>
  <c r="W36" i="2" s="1"/>
  <c r="Y33" i="2"/>
  <c r="X34" i="2"/>
  <c r="X36" i="2" s="1"/>
  <c r="U42" i="2"/>
  <c r="U44" i="2" s="1"/>
  <c r="V41" i="2"/>
  <c r="J98" i="1"/>
  <c r="I100" i="1"/>
  <c r="J100" i="1" s="1"/>
  <c r="BX92" i="14"/>
  <c r="BW92" i="14" s="1"/>
  <c r="BZ92" i="14" s="1"/>
  <c r="J12" i="12"/>
  <c r="I13" i="12"/>
  <c r="D75" i="14"/>
  <c r="C75" i="14" s="1"/>
  <c r="F75" i="14" s="1"/>
  <c r="L12" i="12"/>
  <c r="K13" i="12"/>
  <c r="H12" i="12"/>
  <c r="G13" i="12"/>
  <c r="I18" i="12" l="1"/>
  <c r="J18" i="12" s="1"/>
  <c r="I15" i="12"/>
  <c r="J15" i="12" s="1"/>
  <c r="G18" i="12"/>
  <c r="H18" i="12" s="1"/>
  <c r="G15" i="12"/>
  <c r="H15" i="12" s="1"/>
  <c r="K18" i="12"/>
  <c r="L18" i="12" s="1"/>
  <c r="K15" i="12"/>
  <c r="L15" i="12" s="1"/>
  <c r="Y34" i="2"/>
  <c r="Y36" i="2" s="1"/>
  <c r="Z33" i="2"/>
  <c r="BV93" i="14"/>
  <c r="BY93" i="14"/>
  <c r="E76" i="14"/>
  <c r="B76" i="14"/>
  <c r="L13" i="12"/>
  <c r="F12" i="12"/>
  <c r="E13" i="12"/>
  <c r="H13" i="12"/>
  <c r="J13" i="12"/>
  <c r="V42" i="2"/>
  <c r="V44" i="2" s="1"/>
  <c r="W41" i="2"/>
  <c r="H26" i="12" l="1"/>
  <c r="F30" i="12" s="1"/>
  <c r="L26" i="12"/>
  <c r="H30" i="12" s="1"/>
  <c r="J26" i="12"/>
  <c r="G30" i="12" s="1"/>
  <c r="E18" i="12"/>
  <c r="F18" i="12" s="1"/>
  <c r="F26" i="12" s="1"/>
  <c r="E30" i="12" s="1"/>
  <c r="E15" i="12"/>
  <c r="F15" i="12" s="1"/>
  <c r="AA33" i="2"/>
  <c r="Z34" i="2"/>
  <c r="Z36" i="2" s="1"/>
  <c r="W42" i="2"/>
  <c r="W44" i="2" s="1"/>
  <c r="X41" i="2"/>
  <c r="F13" i="12"/>
  <c r="D76" i="14"/>
  <c r="C76" i="14" s="1"/>
  <c r="F76" i="14" s="1"/>
  <c r="BX93" i="14"/>
  <c r="BW93" i="14" s="1"/>
  <c r="BZ93" i="14" s="1"/>
  <c r="AB33" i="2" l="1"/>
  <c r="AA34" i="2"/>
  <c r="AA36" i="2" s="1"/>
  <c r="BV94" i="14"/>
  <c r="BY94" i="14"/>
  <c r="B77" i="14"/>
  <c r="E77" i="14"/>
  <c r="X42" i="2"/>
  <c r="X44" i="2" s="1"/>
  <c r="Y41" i="2"/>
  <c r="AC33" i="2" l="1"/>
  <c r="AB34" i="2"/>
  <c r="AB36" i="2" s="1"/>
  <c r="D77" i="14"/>
  <c r="C77" i="14" s="1"/>
  <c r="F77" i="14" s="1"/>
  <c r="Y42" i="2"/>
  <c r="Y44" i="2" s="1"/>
  <c r="Z41" i="2"/>
  <c r="BX94" i="14"/>
  <c r="BW94" i="14" s="1"/>
  <c r="BZ94" i="14" s="1"/>
  <c r="AC34" i="2" l="1"/>
  <c r="AC36" i="2" s="1"/>
  <c r="AD33" i="2"/>
  <c r="BV95" i="14"/>
  <c r="BY95" i="14"/>
  <c r="E78" i="14"/>
  <c r="B78" i="14"/>
  <c r="Z42" i="2"/>
  <c r="Z44" i="2" s="1"/>
  <c r="AA41" i="2"/>
  <c r="AF33" i="2" l="1"/>
  <c r="I32" i="1"/>
  <c r="I33" i="1" s="1"/>
  <c r="I35" i="1" s="1"/>
  <c r="AD34" i="2"/>
  <c r="AD36" i="2" s="1"/>
  <c r="D78" i="14"/>
  <c r="C78" i="14" s="1"/>
  <c r="F78" i="14" s="1"/>
  <c r="AA42" i="2"/>
  <c r="AA44" i="2" s="1"/>
  <c r="AB41" i="2"/>
  <c r="BX95" i="14"/>
  <c r="BW95" i="14" s="1"/>
  <c r="BZ95" i="14" s="1"/>
  <c r="AF34" i="2" l="1"/>
  <c r="AF36" i="2" s="1"/>
  <c r="AG33" i="2"/>
  <c r="B79" i="14"/>
  <c r="E79" i="14"/>
  <c r="AB42" i="2"/>
  <c r="AB44" i="2" s="1"/>
  <c r="AC41" i="2"/>
  <c r="BY96" i="14"/>
  <c r="BV96" i="14"/>
  <c r="AG34" i="2" l="1"/>
  <c r="AG36" i="2" s="1"/>
  <c r="AH33" i="2"/>
  <c r="BX96" i="14"/>
  <c r="BW96" i="14" s="1"/>
  <c r="BZ96" i="14" s="1"/>
  <c r="D79" i="14"/>
  <c r="C79" i="14" s="1"/>
  <c r="F79" i="14" s="1"/>
  <c r="AC42" i="2"/>
  <c r="AC44" i="2" s="1"/>
  <c r="AD41" i="2"/>
  <c r="AH34" i="2" l="1"/>
  <c r="AH36" i="2" s="1"/>
  <c r="AI33" i="2"/>
  <c r="E80" i="14"/>
  <c r="B80" i="14"/>
  <c r="BV97" i="14"/>
  <c r="BY97" i="14"/>
  <c r="I40" i="1"/>
  <c r="I41" i="1" s="1"/>
  <c r="I43" i="1" s="1"/>
  <c r="AD42" i="2"/>
  <c r="AD44" i="2" s="1"/>
  <c r="AF41" i="2"/>
  <c r="AI34" i="2" l="1"/>
  <c r="AI36" i="2" s="1"/>
  <c r="AJ33" i="2"/>
  <c r="AF42" i="2"/>
  <c r="AF44" i="2" s="1"/>
  <c r="AG41" i="2"/>
  <c r="BX97" i="14"/>
  <c r="BW97" i="14" s="1"/>
  <c r="BZ97" i="14" s="1"/>
  <c r="D80" i="14"/>
  <c r="C80" i="14" s="1"/>
  <c r="F80" i="14" s="1"/>
  <c r="AJ34" i="2" l="1"/>
  <c r="AJ36" i="2" s="1"/>
  <c r="AK33" i="2"/>
  <c r="B81" i="14"/>
  <c r="E81" i="14"/>
  <c r="BY98" i="14"/>
  <c r="BV98" i="14"/>
  <c r="AG42" i="2"/>
  <c r="AG44" i="2" s="1"/>
  <c r="AH41" i="2"/>
  <c r="AK34" i="2" l="1"/>
  <c r="AK36" i="2" s="1"/>
  <c r="AL33" i="2"/>
  <c r="BX98" i="14"/>
  <c r="BW98" i="14" s="1"/>
  <c r="BZ98" i="14" s="1"/>
  <c r="D81" i="14"/>
  <c r="C81" i="14" s="1"/>
  <c r="F81" i="14" s="1"/>
  <c r="AH42" i="2"/>
  <c r="AH44" i="2" s="1"/>
  <c r="AI41" i="2"/>
  <c r="AL34" i="2" l="1"/>
  <c r="AL36" i="2" s="1"/>
  <c r="AM33" i="2"/>
  <c r="BV99" i="14"/>
  <c r="BY99" i="14"/>
  <c r="E82" i="14"/>
  <c r="B82" i="14"/>
  <c r="AI42" i="2"/>
  <c r="AI44" i="2" s="1"/>
  <c r="AJ41" i="2"/>
  <c r="AN33" i="2" l="1"/>
  <c r="AM34" i="2"/>
  <c r="AM36" i="2" s="1"/>
  <c r="D82" i="14"/>
  <c r="C82" i="14" s="1"/>
  <c r="F82" i="14" s="1"/>
  <c r="AJ42" i="2"/>
  <c r="AJ44" i="2" s="1"/>
  <c r="AK41" i="2"/>
  <c r="BX99" i="14"/>
  <c r="BW99" i="14" s="1"/>
  <c r="BZ99" i="14" s="1"/>
  <c r="AN34" i="2" l="1"/>
  <c r="AN36" i="2" s="1"/>
  <c r="AO33" i="2"/>
  <c r="BY100" i="14"/>
  <c r="BV100" i="14"/>
  <c r="B83" i="14"/>
  <c r="E83" i="14"/>
  <c r="AK42" i="2"/>
  <c r="AK44" i="2" s="1"/>
  <c r="AL41" i="2"/>
  <c r="AO34" i="2" l="1"/>
  <c r="AO36" i="2" s="1"/>
  <c r="AP33" i="2"/>
  <c r="D83" i="14"/>
  <c r="C83" i="14" s="1"/>
  <c r="F83" i="14" s="1"/>
  <c r="AL42" i="2"/>
  <c r="AL44" i="2" s="1"/>
  <c r="AM41" i="2"/>
  <c r="BX100" i="14"/>
  <c r="BW100" i="14" s="1"/>
  <c r="BZ100" i="14" s="1"/>
  <c r="AP34" i="2" l="1"/>
  <c r="AP36" i="2" s="1"/>
  <c r="AQ33" i="2"/>
  <c r="BV101" i="14"/>
  <c r="BY101" i="14"/>
  <c r="E84" i="14"/>
  <c r="B84" i="14"/>
  <c r="AM42" i="2"/>
  <c r="AM44" i="2" s="1"/>
  <c r="AN41" i="2"/>
  <c r="AQ34" i="2" l="1"/>
  <c r="AQ36" i="2" s="1"/>
  <c r="L32" i="1"/>
  <c r="L33" i="1" s="1"/>
  <c r="L35" i="1" s="1"/>
  <c r="AS33" i="2"/>
  <c r="D84" i="14"/>
  <c r="C84" i="14" s="1"/>
  <c r="F84" i="14" s="1"/>
  <c r="BX101" i="14"/>
  <c r="BW101" i="14" s="1"/>
  <c r="BZ101" i="14" s="1"/>
  <c r="AN42" i="2"/>
  <c r="AN44" i="2" s="1"/>
  <c r="AO41" i="2"/>
  <c r="AS34" i="2" l="1"/>
  <c r="AS36" i="2" s="1"/>
  <c r="AT33" i="2"/>
  <c r="BY102" i="14"/>
  <c r="BV102" i="14"/>
  <c r="B85" i="14"/>
  <c r="E85" i="14"/>
  <c r="AO42" i="2"/>
  <c r="AO44" i="2" s="1"/>
  <c r="AP41" i="2"/>
  <c r="AU33" i="2" l="1"/>
  <c r="AT34" i="2"/>
  <c r="AT36" i="2" s="1"/>
  <c r="AP42" i="2"/>
  <c r="AP44" i="2" s="1"/>
  <c r="AQ41" i="2"/>
  <c r="D85" i="14"/>
  <c r="C85" i="14" s="1"/>
  <c r="F85" i="14" s="1"/>
  <c r="BX102" i="14"/>
  <c r="BW102" i="14" s="1"/>
  <c r="BZ102" i="14" s="1"/>
  <c r="AU34" i="2" l="1"/>
  <c r="AU36" i="2" s="1"/>
  <c r="AV33" i="2"/>
  <c r="BV103" i="14"/>
  <c r="BY103" i="14"/>
  <c r="E86" i="14"/>
  <c r="B86" i="14"/>
  <c r="L40" i="1"/>
  <c r="L41" i="1" s="1"/>
  <c r="L43" i="1" s="1"/>
  <c r="AQ42" i="2"/>
  <c r="AQ44" i="2" s="1"/>
  <c r="AS41" i="2"/>
  <c r="AW33" i="2" l="1"/>
  <c r="AV34" i="2"/>
  <c r="AV36" i="2" s="1"/>
  <c r="D86" i="14"/>
  <c r="C86" i="14" s="1"/>
  <c r="F86" i="14" s="1"/>
  <c r="AS42" i="2"/>
  <c r="AS44" i="2" s="1"/>
  <c r="AT41" i="2"/>
  <c r="BX103" i="14"/>
  <c r="BW103" i="14" s="1"/>
  <c r="BZ103" i="14" s="1"/>
  <c r="AW34" i="2" l="1"/>
  <c r="AW36" i="2" s="1"/>
  <c r="AX33" i="2"/>
  <c r="BV104" i="14"/>
  <c r="BY104" i="14"/>
  <c r="B87" i="14"/>
  <c r="E87" i="14"/>
  <c r="AT42" i="2"/>
  <c r="AT44" i="2" s="1"/>
  <c r="AU41" i="2"/>
  <c r="AX34" i="2" l="1"/>
  <c r="AX36" i="2" s="1"/>
  <c r="AY33" i="2"/>
  <c r="D87" i="14"/>
  <c r="C87" i="14" s="1"/>
  <c r="F87" i="14" s="1"/>
  <c r="BX104" i="14"/>
  <c r="BW104" i="14" s="1"/>
  <c r="BZ104" i="14" s="1"/>
  <c r="AU42" i="2"/>
  <c r="AU44" i="2" s="1"/>
  <c r="AV41" i="2"/>
  <c r="AY34" i="2" l="1"/>
  <c r="AY36" i="2" s="1"/>
  <c r="AZ33" i="2"/>
  <c r="BV105" i="14"/>
  <c r="BY105" i="14"/>
  <c r="E88" i="14"/>
  <c r="B88" i="14"/>
  <c r="AV42" i="2"/>
  <c r="AV44" i="2" s="1"/>
  <c r="AW41" i="2"/>
  <c r="AZ34" i="2" l="1"/>
  <c r="AZ36" i="2" s="1"/>
  <c r="BA33" i="2"/>
  <c r="AW42" i="2"/>
  <c r="AW44" i="2" s="1"/>
  <c r="AX41" i="2"/>
  <c r="D88" i="14"/>
  <c r="C88" i="14" s="1"/>
  <c r="F88" i="14" s="1"/>
  <c r="BX105" i="14"/>
  <c r="BW105" i="14" s="1"/>
  <c r="BZ105" i="14" s="1"/>
  <c r="BA34" i="2" l="1"/>
  <c r="BA36" i="2" s="1"/>
  <c r="BB33" i="2"/>
  <c r="BV106" i="14"/>
  <c r="BY106" i="14"/>
  <c r="B89" i="14"/>
  <c r="E89" i="14"/>
  <c r="AX42" i="2"/>
  <c r="AX44" i="2" s="1"/>
  <c r="AY41" i="2"/>
  <c r="BB34" i="2" l="1"/>
  <c r="BB36" i="2" s="1"/>
  <c r="BC33" i="2"/>
  <c r="D89" i="14"/>
  <c r="C89" i="14" s="1"/>
  <c r="F89" i="14" s="1"/>
  <c r="AY42" i="2"/>
  <c r="AY44" i="2" s="1"/>
  <c r="AZ41" i="2"/>
  <c r="BX106" i="14"/>
  <c r="BW106" i="14" s="1"/>
  <c r="BZ106" i="14" s="1"/>
  <c r="BC34" i="2" l="1"/>
  <c r="BC36" i="2" s="1"/>
  <c r="BD33" i="2"/>
  <c r="BV107" i="14"/>
  <c r="BY107" i="14"/>
  <c r="E90" i="14"/>
  <c r="B90" i="14"/>
  <c r="AZ42" i="2"/>
  <c r="AZ44" i="2" s="1"/>
  <c r="BA41" i="2"/>
  <c r="BD34" i="2" l="1"/>
  <c r="BD36" i="2" s="1"/>
  <c r="O32" i="1"/>
  <c r="O33" i="1" s="1"/>
  <c r="O35" i="1" s="1"/>
  <c r="BF33" i="2"/>
  <c r="D90" i="14"/>
  <c r="C90" i="14" s="1"/>
  <c r="F90" i="14" s="1"/>
  <c r="BX107" i="14"/>
  <c r="BW107" i="14" s="1"/>
  <c r="BZ107" i="14" s="1"/>
  <c r="BA42" i="2"/>
  <c r="BA44" i="2" s="1"/>
  <c r="BB41" i="2"/>
  <c r="BF34" i="2" l="1"/>
  <c r="BF36" i="2" s="1"/>
  <c r="BG33" i="2"/>
  <c r="BV108" i="14"/>
  <c r="BY108" i="14"/>
  <c r="E91" i="14"/>
  <c r="B91" i="14"/>
  <c r="BB42" i="2"/>
  <c r="BB44" i="2" s="1"/>
  <c r="BC41" i="2"/>
  <c r="BG34" i="2" l="1"/>
  <c r="BG36" i="2" s="1"/>
  <c r="BH33" i="2"/>
  <c r="D91" i="14"/>
  <c r="C91" i="14" s="1"/>
  <c r="F91" i="14" s="1"/>
  <c r="BX108" i="14"/>
  <c r="BW108" i="14" s="1"/>
  <c r="BZ108" i="14" s="1"/>
  <c r="BC42" i="2"/>
  <c r="BC44" i="2" s="1"/>
  <c r="BD41" i="2"/>
  <c r="BH34" i="2" l="1"/>
  <c r="BH36" i="2" s="1"/>
  <c r="BI33" i="2"/>
  <c r="BV109" i="14"/>
  <c r="BY109" i="14"/>
  <c r="E92" i="14"/>
  <c r="B92" i="14"/>
  <c r="O40" i="1"/>
  <c r="O41" i="1" s="1"/>
  <c r="O43" i="1" s="1"/>
  <c r="BD42" i="2"/>
  <c r="BD44" i="2" s="1"/>
  <c r="BF41" i="2"/>
  <c r="BJ33" i="2" l="1"/>
  <c r="BI34" i="2"/>
  <c r="BI36" i="2" s="1"/>
  <c r="BF42" i="2"/>
  <c r="BF44" i="2" s="1"/>
  <c r="BG41" i="2"/>
  <c r="D92" i="14"/>
  <c r="C92" i="14" s="1"/>
  <c r="F92" i="14" s="1"/>
  <c r="BX109" i="14"/>
  <c r="BW109" i="14" s="1"/>
  <c r="BZ109" i="14" s="1"/>
  <c r="BJ34" i="2" l="1"/>
  <c r="BJ36" i="2" s="1"/>
  <c r="BK33" i="2"/>
  <c r="BV110" i="14"/>
  <c r="BY110" i="14"/>
  <c r="E93" i="14"/>
  <c r="B93" i="14"/>
  <c r="BG42" i="2"/>
  <c r="BG44" i="2" s="1"/>
  <c r="BH41" i="2"/>
  <c r="BK34" i="2" l="1"/>
  <c r="BK36" i="2" s="1"/>
  <c r="BL33" i="2"/>
  <c r="D93" i="14"/>
  <c r="C93" i="14" s="1"/>
  <c r="F93" i="14" s="1"/>
  <c r="BH42" i="2"/>
  <c r="BH44" i="2" s="1"/>
  <c r="BI41" i="2"/>
  <c r="BX110" i="14"/>
  <c r="BW110" i="14" s="1"/>
  <c r="BZ110" i="14" s="1"/>
  <c r="BL34" i="2" l="1"/>
  <c r="BL36" i="2" s="1"/>
  <c r="BM33" i="2"/>
  <c r="BV111" i="14"/>
  <c r="BY111" i="14"/>
  <c r="E94" i="14"/>
  <c r="B94" i="14"/>
  <c r="BI42" i="2"/>
  <c r="BI44" i="2" s="1"/>
  <c r="BJ41" i="2"/>
  <c r="BM34" i="2" l="1"/>
  <c r="BM36" i="2" s="1"/>
  <c r="BN33" i="2"/>
  <c r="D94" i="14"/>
  <c r="C94" i="14" s="1"/>
  <c r="F94" i="14" s="1"/>
  <c r="BJ42" i="2"/>
  <c r="BJ44" i="2" s="1"/>
  <c r="BK41" i="2"/>
  <c r="BX111" i="14"/>
  <c r="BW111" i="14" s="1"/>
  <c r="BZ111" i="14" s="1"/>
  <c r="BN34" i="2" l="1"/>
  <c r="BN36" i="2" s="1"/>
  <c r="BO33" i="2"/>
  <c r="B95" i="14"/>
  <c r="E95" i="14"/>
  <c r="BV112" i="14"/>
  <c r="BY112" i="14"/>
  <c r="BK42" i="2"/>
  <c r="BK44" i="2" s="1"/>
  <c r="BL41" i="2"/>
  <c r="BO34" i="2" l="1"/>
  <c r="BO36" i="2" s="1"/>
  <c r="BP33" i="2"/>
  <c r="BL42" i="2"/>
  <c r="BL44" i="2" s="1"/>
  <c r="BM41" i="2"/>
  <c r="BX112" i="14"/>
  <c r="BW112" i="14" s="1"/>
  <c r="BZ112" i="14" s="1"/>
  <c r="D95" i="14"/>
  <c r="C95" i="14" s="1"/>
  <c r="F95" i="14" s="1"/>
  <c r="BP34" i="2" l="1"/>
  <c r="BP36" i="2" s="1"/>
  <c r="BQ33" i="2"/>
  <c r="BV113" i="14"/>
  <c r="BY113" i="14"/>
  <c r="B96" i="14"/>
  <c r="E96" i="14"/>
  <c r="BM42" i="2"/>
  <c r="BM44" i="2" s="1"/>
  <c r="BN41" i="2"/>
  <c r="BQ34" i="2" l="1"/>
  <c r="BQ36" i="2" s="1"/>
  <c r="R32" i="1"/>
  <c r="R33" i="1" s="1"/>
  <c r="R35" i="1" s="1"/>
  <c r="D96" i="14"/>
  <c r="C96" i="14" s="1"/>
  <c r="F96" i="14" s="1"/>
  <c r="BX113" i="14"/>
  <c r="BW113" i="14" s="1"/>
  <c r="BZ113" i="14" s="1"/>
  <c r="BN42" i="2"/>
  <c r="BN44" i="2" s="1"/>
  <c r="BO41" i="2"/>
  <c r="BV114" i="14" l="1"/>
  <c r="BY114" i="14"/>
  <c r="B97" i="14"/>
  <c r="E97" i="14"/>
  <c r="BO42" i="2"/>
  <c r="BO44" i="2" s="1"/>
  <c r="BP41" i="2"/>
  <c r="D97" i="14" l="1"/>
  <c r="C97" i="14" s="1"/>
  <c r="F97" i="14" s="1"/>
  <c r="BP42" i="2"/>
  <c r="BP44" i="2" s="1"/>
  <c r="BQ41" i="2"/>
  <c r="BX114" i="14"/>
  <c r="BW114" i="14" s="1"/>
  <c r="BZ114" i="14" s="1"/>
  <c r="BV115" i="14" l="1"/>
  <c r="BY115" i="14"/>
  <c r="B98" i="14"/>
  <c r="E98" i="14"/>
  <c r="R40" i="1"/>
  <c r="R41" i="1" s="1"/>
  <c r="R43" i="1" s="1"/>
  <c r="BQ42" i="2"/>
  <c r="BQ44" i="2" s="1"/>
  <c r="D98" i="14" l="1"/>
  <c r="C98" i="14" s="1"/>
  <c r="F98" i="14" s="1"/>
  <c r="BX115" i="14"/>
  <c r="BW115" i="14" s="1"/>
  <c r="BZ115" i="14" s="1"/>
  <c r="BV116" i="14" l="1"/>
  <c r="BY116" i="14"/>
  <c r="E99" i="14"/>
  <c r="B99" i="14"/>
  <c r="D99" i="14" l="1"/>
  <c r="C99" i="14" s="1"/>
  <c r="F99" i="14" s="1"/>
  <c r="BX116" i="14"/>
  <c r="BW116" i="14" s="1"/>
  <c r="BZ116" i="14" s="1"/>
  <c r="B100" i="14" l="1"/>
  <c r="E100" i="14"/>
  <c r="BV117" i="14"/>
  <c r="BY117" i="14"/>
  <c r="BX117" i="14" l="1"/>
  <c r="BW117" i="14" s="1"/>
  <c r="BZ117" i="14" s="1"/>
  <c r="D100" i="14"/>
  <c r="C100" i="14" s="1"/>
  <c r="F100" i="14" s="1"/>
  <c r="B101" i="14" l="1"/>
  <c r="E101" i="14"/>
  <c r="BV118" i="14"/>
  <c r="BY118" i="14"/>
  <c r="BX118" i="14" l="1"/>
  <c r="BW118" i="14" s="1"/>
  <c r="BZ118" i="14" s="1"/>
  <c r="D101" i="14"/>
  <c r="C101" i="14" s="1"/>
  <c r="F101" i="14" s="1"/>
  <c r="B102" i="14" l="1"/>
  <c r="E102" i="14"/>
  <c r="BV119" i="14"/>
  <c r="BY119" i="14"/>
  <c r="BX119" i="14" l="1"/>
  <c r="BW119" i="14" s="1"/>
  <c r="BZ119" i="14" s="1"/>
  <c r="D102" i="14"/>
  <c r="C102" i="14" s="1"/>
  <c r="F102" i="14" s="1"/>
  <c r="E103" i="14" l="1"/>
  <c r="B103" i="14"/>
  <c r="BV120" i="14"/>
  <c r="BY120" i="14"/>
  <c r="BX120" i="14" l="1"/>
  <c r="BW120" i="14" s="1"/>
  <c r="BZ120" i="14" s="1"/>
  <c r="D103" i="14"/>
  <c r="C103" i="14" s="1"/>
  <c r="F103" i="14" s="1"/>
  <c r="B104" i="14" l="1"/>
  <c r="E104" i="14"/>
  <c r="BV121" i="14"/>
  <c r="BY121" i="14"/>
  <c r="D104" i="14" l="1"/>
  <c r="C104" i="14" s="1"/>
  <c r="F104" i="14" s="1"/>
  <c r="BX121" i="14"/>
  <c r="BW121" i="14" s="1"/>
  <c r="BZ121" i="14" s="1"/>
  <c r="BV122" i="14" l="1"/>
  <c r="BY122" i="14"/>
  <c r="E105" i="14"/>
  <c r="B105" i="14"/>
  <c r="D105" i="14" l="1"/>
  <c r="C105" i="14" s="1"/>
  <c r="F105" i="14" s="1"/>
  <c r="BX122" i="14"/>
  <c r="BW122" i="14" s="1"/>
  <c r="BZ122" i="14" s="1"/>
  <c r="BV123" i="14" l="1"/>
  <c r="BY123" i="14"/>
  <c r="B106" i="14"/>
  <c r="E106" i="14"/>
  <c r="BX123" i="14" l="1"/>
  <c r="BW123" i="14" s="1"/>
  <c r="BZ123" i="14" s="1"/>
  <c r="D106" i="14"/>
  <c r="C106" i="14" s="1"/>
  <c r="F106" i="14" s="1"/>
  <c r="BV124" i="14" l="1"/>
  <c r="BY124" i="14"/>
  <c r="E107" i="14"/>
  <c r="B107" i="14"/>
  <c r="BX124" i="14" l="1"/>
  <c r="BW124" i="14" s="1"/>
  <c r="BZ124" i="14" s="1"/>
  <c r="D107" i="14"/>
  <c r="C107" i="14" s="1"/>
  <c r="F107" i="14" s="1"/>
  <c r="BV125" i="14" l="1"/>
  <c r="BY125" i="14"/>
  <c r="B108" i="14"/>
  <c r="E108" i="14"/>
  <c r="BX125" i="14" l="1"/>
  <c r="BW125" i="14" s="1"/>
  <c r="BZ125" i="14" s="1"/>
  <c r="D108" i="14"/>
  <c r="C108" i="14" s="1"/>
  <c r="F108" i="14" s="1"/>
  <c r="BV126" i="14" l="1"/>
  <c r="BY126" i="14"/>
  <c r="E109" i="14"/>
  <c r="B109" i="14"/>
  <c r="D109" i="14" l="1"/>
  <c r="C109" i="14" s="1"/>
  <c r="F109" i="14" s="1"/>
  <c r="BX126" i="14"/>
  <c r="BW126" i="14" s="1"/>
  <c r="BZ126" i="14" s="1"/>
  <c r="BV127" i="14" l="1"/>
  <c r="BY127" i="14"/>
  <c r="B110" i="14"/>
  <c r="E110" i="14"/>
  <c r="BX127" i="14" l="1"/>
  <c r="BW127" i="14" s="1"/>
  <c r="BZ127" i="14" s="1"/>
  <c r="D110" i="14"/>
  <c r="C110" i="14" s="1"/>
  <c r="F110" i="14" s="1"/>
  <c r="BV128" i="14" l="1"/>
  <c r="BY128" i="14"/>
  <c r="E111" i="14"/>
  <c r="B111" i="14"/>
  <c r="D111" i="14" l="1"/>
  <c r="C111" i="14" s="1"/>
  <c r="F111" i="14" s="1"/>
  <c r="BX128" i="14"/>
  <c r="BW128" i="14" s="1"/>
  <c r="BZ128" i="14" s="1"/>
  <c r="B112" i="14" l="1"/>
  <c r="E112" i="14"/>
  <c r="BV129" i="14"/>
  <c r="BY129" i="14"/>
  <c r="D112" i="14" l="1"/>
  <c r="C112" i="14" s="1"/>
  <c r="F112" i="14" s="1"/>
  <c r="BX129" i="14"/>
  <c r="BW129" i="14" s="1"/>
  <c r="BZ129" i="14" s="1"/>
  <c r="BV130" i="14" l="1"/>
  <c r="BY130" i="14"/>
  <c r="E113" i="14"/>
  <c r="B113" i="14"/>
  <c r="D113" i="14" l="1"/>
  <c r="C113" i="14" s="1"/>
  <c r="F113" i="14" s="1"/>
  <c r="BX130" i="14"/>
  <c r="BW130" i="14" s="1"/>
  <c r="BZ130" i="14" s="1"/>
  <c r="BV131" i="14" l="1"/>
  <c r="BY131" i="14"/>
  <c r="B114" i="14"/>
  <c r="E114" i="14"/>
  <c r="D114" i="14" l="1"/>
  <c r="C114" i="14" s="1"/>
  <c r="F114" i="14" s="1"/>
  <c r="BX131" i="14"/>
  <c r="BX132" i="14" s="1"/>
  <c r="E115" i="14" l="1"/>
  <c r="B115" i="14"/>
  <c r="BW131" i="14"/>
  <c r="BZ131" i="14" s="1"/>
  <c r="D115" i="14" l="1"/>
  <c r="C115" i="14" s="1"/>
  <c r="F115" i="14" s="1"/>
  <c r="B116" i="14" l="1"/>
  <c r="E116" i="14"/>
  <c r="D116" i="14" l="1"/>
  <c r="C116" i="14" s="1"/>
  <c r="F116" i="14" s="1"/>
  <c r="E117" i="14" l="1"/>
  <c r="B117" i="14"/>
  <c r="D117" i="14" l="1"/>
  <c r="C117" i="14" s="1"/>
  <c r="F117" i="14" s="1"/>
  <c r="B118" i="14" l="1"/>
  <c r="E118" i="14"/>
  <c r="D118" i="14" l="1"/>
  <c r="C118" i="14" s="1"/>
  <c r="F118" i="14" s="1"/>
  <c r="E119" i="14" l="1"/>
  <c r="B119" i="14"/>
  <c r="D119" i="14" l="1"/>
  <c r="C119" i="14" s="1"/>
  <c r="F119" i="14" s="1"/>
  <c r="B120" i="14" l="1"/>
  <c r="E120" i="14"/>
  <c r="D120" i="14" l="1"/>
  <c r="C120" i="14" s="1"/>
  <c r="F120" i="14" s="1"/>
  <c r="E121" i="14" l="1"/>
  <c r="B121" i="14"/>
  <c r="D121" i="14" l="1"/>
  <c r="C121" i="14" s="1"/>
  <c r="F121" i="14" s="1"/>
  <c r="B122" i="14" l="1"/>
  <c r="E122" i="14"/>
  <c r="D122" i="14" l="1"/>
  <c r="C122" i="14" s="1"/>
  <c r="F122" i="14" s="1"/>
  <c r="E123" i="14" l="1"/>
  <c r="B123" i="14"/>
  <c r="D123" i="14" l="1"/>
  <c r="C123" i="14" s="1"/>
  <c r="F123" i="14" s="1"/>
  <c r="B124" i="14" l="1"/>
  <c r="E124" i="14"/>
  <c r="D124" i="14" l="1"/>
  <c r="C124" i="14" s="1"/>
  <c r="F124" i="14" s="1"/>
  <c r="E125" i="14" l="1"/>
  <c r="B125" i="14"/>
  <c r="D125" i="14" l="1"/>
  <c r="C125" i="14" s="1"/>
  <c r="F125" i="14" s="1"/>
  <c r="B126" i="14" l="1"/>
  <c r="E126" i="14"/>
  <c r="D126" i="14" l="1"/>
  <c r="C126" i="14" s="1"/>
  <c r="F126" i="14" s="1"/>
  <c r="E127" i="14" l="1"/>
  <c r="B127" i="14"/>
  <c r="D127" i="14" l="1"/>
  <c r="C127" i="14" s="1"/>
  <c r="F127" i="14" s="1"/>
  <c r="B128" i="14" l="1"/>
  <c r="E128" i="14"/>
  <c r="D128" i="14" l="1"/>
  <c r="C128" i="14" s="1"/>
  <c r="F128" i="14" s="1"/>
  <c r="E129" i="14" l="1"/>
  <c r="B129" i="14"/>
  <c r="D129" i="14" l="1"/>
  <c r="C129" i="14" s="1"/>
  <c r="F129" i="14" s="1"/>
  <c r="B130" i="14" l="1"/>
  <c r="E130" i="14"/>
  <c r="D130" i="14" l="1"/>
  <c r="C130" i="14" s="1"/>
  <c r="F130" i="14" s="1"/>
  <c r="E131" i="14" l="1"/>
  <c r="B131" i="14"/>
  <c r="D131" i="14" l="1"/>
  <c r="D132" i="14" s="1"/>
  <c r="C131" i="14" l="1"/>
  <c r="F131" i="14" s="1"/>
  <c r="G31" i="4"/>
  <c r="G40" i="4" s="1"/>
  <c r="G43" i="4" s="1"/>
  <c r="H41" i="4" l="1"/>
  <c r="H43" i="4" s="1"/>
  <c r="F8" i="2"/>
  <c r="F15" i="2" s="1"/>
  <c r="F21" i="2" s="1"/>
  <c r="F46" i="2" s="1"/>
  <c r="I41" i="4" l="1"/>
  <c r="I43" i="4" s="1"/>
  <c r="G8" i="2"/>
  <c r="G15" i="2" s="1"/>
  <c r="G21" i="2" s="1"/>
  <c r="G46" i="2" s="1"/>
  <c r="H8" i="2" l="1"/>
  <c r="H15" i="2" s="1"/>
  <c r="H21" i="2" s="1"/>
  <c r="H46" i="2" s="1"/>
  <c r="J41" i="4"/>
  <c r="J43" i="4" s="1"/>
  <c r="K41" i="4" l="1"/>
  <c r="K43" i="4" s="1"/>
  <c r="I8" i="2"/>
  <c r="I15" i="2" s="1"/>
  <c r="I21" i="2" s="1"/>
  <c r="I46" i="2" s="1"/>
  <c r="L41" i="4" l="1"/>
  <c r="L43" i="4" s="1"/>
  <c r="J8" i="2"/>
  <c r="J15" i="2" s="1"/>
  <c r="J21" i="2" s="1"/>
  <c r="J46" i="2" s="1"/>
  <c r="M41" i="4" l="1"/>
  <c r="M43" i="4" s="1"/>
  <c r="K8" i="2"/>
  <c r="K15" i="2" s="1"/>
  <c r="K21" i="2" s="1"/>
  <c r="K46" i="2" s="1"/>
  <c r="N41" i="4" l="1"/>
  <c r="N43" i="4" s="1"/>
  <c r="L8" i="2"/>
  <c r="L15" i="2" s="1"/>
  <c r="L21" i="2" s="1"/>
  <c r="L46" i="2" s="1"/>
  <c r="O41" i="4" l="1"/>
  <c r="O43" i="4" s="1"/>
  <c r="M8" i="2"/>
  <c r="M15" i="2" s="1"/>
  <c r="M21" i="2" s="1"/>
  <c r="M46" i="2" s="1"/>
  <c r="P41" i="4" l="1"/>
  <c r="P43" i="4" s="1"/>
  <c r="N8" i="2"/>
  <c r="N15" i="2" s="1"/>
  <c r="N21" i="2" s="1"/>
  <c r="N46" i="2" s="1"/>
  <c r="Q41" i="4" l="1"/>
  <c r="Q43" i="4" s="1"/>
  <c r="O8" i="2"/>
  <c r="O15" i="2" s="1"/>
  <c r="O21" i="2" s="1"/>
  <c r="O46" i="2" s="1"/>
  <c r="R41" i="4" l="1"/>
  <c r="R43" i="4" s="1"/>
  <c r="P8" i="2"/>
  <c r="P15" i="2" s="1"/>
  <c r="P21" i="2" s="1"/>
  <c r="P46" i="2" s="1"/>
  <c r="Q8" i="2" l="1"/>
  <c r="T41" i="4"/>
  <c r="T43" i="4" s="1"/>
  <c r="C21" i="12"/>
  <c r="C26" i="12" l="1"/>
  <c r="D29" i="12" s="1"/>
  <c r="U41" i="4"/>
  <c r="U43" i="4" s="1"/>
  <c r="S8" i="2"/>
  <c r="S15" i="2" s="1"/>
  <c r="S21" i="2" s="1"/>
  <c r="S46" i="2" s="1"/>
  <c r="Q15" i="2"/>
  <c r="Q21" i="2" s="1"/>
  <c r="Q46" i="2" s="1"/>
  <c r="F7" i="1"/>
  <c r="F14" i="1" s="1"/>
  <c r="F20" i="1" s="1"/>
  <c r="V41" i="4" l="1"/>
  <c r="V43" i="4" s="1"/>
  <c r="T8" i="2"/>
  <c r="T15" i="2" s="1"/>
  <c r="T21" i="2" s="1"/>
  <c r="T46" i="2" s="1"/>
  <c r="W41" i="4" l="1"/>
  <c r="W43" i="4" s="1"/>
  <c r="U8" i="2"/>
  <c r="U15" i="2" s="1"/>
  <c r="U21" i="2" s="1"/>
  <c r="U46" i="2" s="1"/>
  <c r="X41" i="4" l="1"/>
  <c r="X43" i="4" s="1"/>
  <c r="V8" i="2"/>
  <c r="V15" i="2" s="1"/>
  <c r="V21" i="2" s="1"/>
  <c r="V46" i="2" s="1"/>
  <c r="Y41" i="4" l="1"/>
  <c r="Y43" i="4" s="1"/>
  <c r="W8" i="2"/>
  <c r="W15" i="2" s="1"/>
  <c r="W21" i="2" s="1"/>
  <c r="W46" i="2" s="1"/>
  <c r="X8" i="2" l="1"/>
  <c r="X15" i="2" s="1"/>
  <c r="X21" i="2" s="1"/>
  <c r="X46" i="2" s="1"/>
  <c r="Z41" i="4"/>
  <c r="Z43" i="4" s="1"/>
  <c r="AA41" i="4" l="1"/>
  <c r="AA43" i="4" s="1"/>
  <c r="Y8" i="2"/>
  <c r="Y15" i="2" s="1"/>
  <c r="Y21" i="2" s="1"/>
  <c r="Y46" i="2" s="1"/>
  <c r="AB41" i="4" l="1"/>
  <c r="AB43" i="4" s="1"/>
  <c r="Z8" i="2"/>
  <c r="Z15" i="2" s="1"/>
  <c r="Z21" i="2" s="1"/>
  <c r="Z46" i="2" s="1"/>
  <c r="AC41" i="4" l="1"/>
  <c r="AC43" i="4" s="1"/>
  <c r="AA8" i="2"/>
  <c r="AA15" i="2" s="1"/>
  <c r="AA21" i="2" s="1"/>
  <c r="AA46" i="2" s="1"/>
  <c r="AD41" i="4" l="1"/>
  <c r="AD43" i="4" s="1"/>
  <c r="AB8" i="2"/>
  <c r="AB15" i="2" s="1"/>
  <c r="AB21" i="2" s="1"/>
  <c r="AB46" i="2" s="1"/>
  <c r="AE41" i="4" l="1"/>
  <c r="AE43" i="4" s="1"/>
  <c r="AC8" i="2"/>
  <c r="AC15" i="2" s="1"/>
  <c r="AC21" i="2" s="1"/>
  <c r="AC46" i="2" s="1"/>
  <c r="AD8" i="2" l="1"/>
  <c r="AG41" i="4"/>
  <c r="AG43" i="4" s="1"/>
  <c r="E21" i="12"/>
  <c r="E26" i="12" s="1"/>
  <c r="E29" i="12" s="1"/>
  <c r="AF8" i="2" l="1"/>
  <c r="AF15" i="2" s="1"/>
  <c r="AF21" i="2" s="1"/>
  <c r="AF46" i="2" s="1"/>
  <c r="AH41" i="4"/>
  <c r="AH43" i="4" s="1"/>
  <c r="AD15" i="2"/>
  <c r="AD21" i="2" s="1"/>
  <c r="AD46" i="2" s="1"/>
  <c r="I7" i="1"/>
  <c r="I14" i="1" s="1"/>
  <c r="I20" i="1" s="1"/>
  <c r="AG8" i="2" l="1"/>
  <c r="AG15" i="2" s="1"/>
  <c r="AG21" i="2" s="1"/>
  <c r="AG46" i="2" s="1"/>
  <c r="AI41" i="4"/>
  <c r="AI43" i="4" s="1"/>
  <c r="AJ41" i="4" l="1"/>
  <c r="AJ43" i="4" s="1"/>
  <c r="AH8" i="2"/>
  <c r="AH15" i="2" s="1"/>
  <c r="AH21" i="2" s="1"/>
  <c r="AH46" i="2" s="1"/>
  <c r="AI8" i="2" l="1"/>
  <c r="AI15" i="2" s="1"/>
  <c r="AI21" i="2" s="1"/>
  <c r="AI46" i="2" s="1"/>
  <c r="AK41" i="4"/>
  <c r="AK43" i="4" s="1"/>
  <c r="AL41" i="4" l="1"/>
  <c r="AL43" i="4" s="1"/>
  <c r="AJ8" i="2"/>
  <c r="AJ15" i="2" s="1"/>
  <c r="AJ21" i="2" s="1"/>
  <c r="AJ46" i="2" s="1"/>
  <c r="AK8" i="2" l="1"/>
  <c r="AK15" i="2" s="1"/>
  <c r="AK21" i="2" s="1"/>
  <c r="AK46" i="2" s="1"/>
  <c r="AM41" i="4"/>
  <c r="AM43" i="4" s="1"/>
  <c r="AN41" i="4" l="1"/>
  <c r="AN43" i="4" s="1"/>
  <c r="AL8" i="2"/>
  <c r="AL15" i="2" s="1"/>
  <c r="AL21" i="2" s="1"/>
  <c r="AL46" i="2" s="1"/>
  <c r="AO41" i="4" l="1"/>
  <c r="AO43" i="4" s="1"/>
  <c r="AM8" i="2"/>
  <c r="AM15" i="2" s="1"/>
  <c r="AM21" i="2" s="1"/>
  <c r="AM46" i="2" s="1"/>
  <c r="AP41" i="4" l="1"/>
  <c r="AP43" i="4" s="1"/>
  <c r="AN8" i="2"/>
  <c r="AN15" i="2" s="1"/>
  <c r="AN21" i="2" s="1"/>
  <c r="AN46" i="2" s="1"/>
  <c r="AO8" i="2" l="1"/>
  <c r="AO15" i="2" s="1"/>
  <c r="AO21" i="2" s="1"/>
  <c r="AO46" i="2" s="1"/>
  <c r="AQ41" i="4"/>
  <c r="AQ43" i="4" s="1"/>
  <c r="AR41" i="4" l="1"/>
  <c r="AR43" i="4" s="1"/>
  <c r="AP8" i="2"/>
  <c r="AP15" i="2" s="1"/>
  <c r="AP21" i="2" s="1"/>
  <c r="AP46" i="2" s="1"/>
  <c r="AQ8" i="2" l="1"/>
  <c r="G21" i="12"/>
  <c r="G26" i="12" s="1"/>
  <c r="F29" i="12" s="1"/>
  <c r="AT41" i="4"/>
  <c r="AT43" i="4" s="1"/>
  <c r="AU41" i="4" l="1"/>
  <c r="AU43" i="4" s="1"/>
  <c r="AS8" i="2"/>
  <c r="AS15" i="2" s="1"/>
  <c r="AS21" i="2" s="1"/>
  <c r="AS46" i="2" s="1"/>
  <c r="AQ15" i="2"/>
  <c r="AQ21" i="2" s="1"/>
  <c r="AQ46" i="2" s="1"/>
  <c r="L7" i="1"/>
  <c r="L14" i="1" s="1"/>
  <c r="L20" i="1" s="1"/>
  <c r="AT8" i="2" l="1"/>
  <c r="AT15" i="2" s="1"/>
  <c r="AT21" i="2" s="1"/>
  <c r="AT46" i="2" s="1"/>
  <c r="AV41" i="4"/>
  <c r="AV43" i="4" s="1"/>
  <c r="AW41" i="4" l="1"/>
  <c r="AW43" i="4" s="1"/>
  <c r="AU8" i="2"/>
  <c r="AU15" i="2" s="1"/>
  <c r="AU21" i="2" s="1"/>
  <c r="AU46" i="2" s="1"/>
  <c r="AX41" i="4" l="1"/>
  <c r="AX43" i="4" s="1"/>
  <c r="AV8" i="2"/>
  <c r="AV15" i="2" s="1"/>
  <c r="AV21" i="2" s="1"/>
  <c r="AV46" i="2" s="1"/>
  <c r="AY41" i="4" l="1"/>
  <c r="AY43" i="4" s="1"/>
  <c r="AW8" i="2"/>
  <c r="AW15" i="2" s="1"/>
  <c r="AW21" i="2" s="1"/>
  <c r="AW46" i="2" s="1"/>
  <c r="AZ41" i="4" l="1"/>
  <c r="AZ43" i="4" s="1"/>
  <c r="AX8" i="2"/>
  <c r="AX15" i="2" s="1"/>
  <c r="AX21" i="2" s="1"/>
  <c r="AX46" i="2" s="1"/>
  <c r="BA41" i="4" l="1"/>
  <c r="BA43" i="4" s="1"/>
  <c r="AY8" i="2"/>
  <c r="AY15" i="2" s="1"/>
  <c r="AY21" i="2" s="1"/>
  <c r="AY46" i="2" s="1"/>
  <c r="BB41" i="4" l="1"/>
  <c r="BB43" i="4" s="1"/>
  <c r="AZ8" i="2"/>
  <c r="AZ15" i="2" s="1"/>
  <c r="AZ21" i="2" s="1"/>
  <c r="AZ46" i="2" s="1"/>
  <c r="BC41" i="4" l="1"/>
  <c r="BC43" i="4" s="1"/>
  <c r="BA8" i="2"/>
  <c r="BA15" i="2" s="1"/>
  <c r="BA21" i="2" s="1"/>
  <c r="BA46" i="2" s="1"/>
  <c r="BB8" i="2" l="1"/>
  <c r="BB15" i="2" s="1"/>
  <c r="BB21" i="2" s="1"/>
  <c r="BB46" i="2" s="1"/>
  <c r="BD41" i="4"/>
  <c r="BD43" i="4" s="1"/>
  <c r="BE41" i="4" l="1"/>
  <c r="BE43" i="4" s="1"/>
  <c r="BC8" i="2"/>
  <c r="BC15" i="2" s="1"/>
  <c r="BC21" i="2" s="1"/>
  <c r="BC46" i="2" s="1"/>
  <c r="BD8" i="2" l="1"/>
  <c r="I21" i="12"/>
  <c r="I26" i="12" s="1"/>
  <c r="G29" i="12" s="1"/>
  <c r="BG41" i="4"/>
  <c r="BG43" i="4" s="1"/>
  <c r="BH41" i="4" l="1"/>
  <c r="BH43" i="4" s="1"/>
  <c r="BF8" i="2"/>
  <c r="BF15" i="2" s="1"/>
  <c r="BF21" i="2" s="1"/>
  <c r="BF46" i="2" s="1"/>
  <c r="O7" i="1"/>
  <c r="O14" i="1" s="1"/>
  <c r="O20" i="1" s="1"/>
  <c r="BD15" i="2"/>
  <c r="BD21" i="2" s="1"/>
  <c r="BD46" i="2" s="1"/>
  <c r="BI41" i="4" l="1"/>
  <c r="BI43" i="4" s="1"/>
  <c r="BG8" i="2"/>
  <c r="BG15" i="2" s="1"/>
  <c r="BG21" i="2" s="1"/>
  <c r="BG46" i="2" s="1"/>
  <c r="BJ41" i="4" l="1"/>
  <c r="BJ43" i="4" s="1"/>
  <c r="BH8" i="2"/>
  <c r="BH15" i="2" s="1"/>
  <c r="BH21" i="2" s="1"/>
  <c r="BH46" i="2" s="1"/>
  <c r="BK41" i="4" l="1"/>
  <c r="BK43" i="4" s="1"/>
  <c r="BI8" i="2"/>
  <c r="BI15" i="2" s="1"/>
  <c r="BI21" i="2" s="1"/>
  <c r="BI46" i="2" s="1"/>
  <c r="BL41" i="4" l="1"/>
  <c r="BL43" i="4" s="1"/>
  <c r="BJ8" i="2"/>
  <c r="BJ15" i="2" s="1"/>
  <c r="BJ21" i="2" s="1"/>
  <c r="BJ46" i="2" s="1"/>
  <c r="BM41" i="4" l="1"/>
  <c r="BM43" i="4" s="1"/>
  <c r="BK8" i="2"/>
  <c r="BK15" i="2" s="1"/>
  <c r="BK21" i="2" s="1"/>
  <c r="BK46" i="2" s="1"/>
  <c r="BN41" i="4" l="1"/>
  <c r="BN43" i="4" s="1"/>
  <c r="BL8" i="2"/>
  <c r="BL15" i="2" s="1"/>
  <c r="BL21" i="2" s="1"/>
  <c r="BL46" i="2" s="1"/>
  <c r="BM8" i="2" l="1"/>
  <c r="BM15" i="2" s="1"/>
  <c r="BM21" i="2" s="1"/>
  <c r="BM46" i="2" s="1"/>
  <c r="BO41" i="4"/>
  <c r="BO43" i="4" s="1"/>
  <c r="BP41" i="4" l="1"/>
  <c r="BP43" i="4" s="1"/>
  <c r="BN8" i="2"/>
  <c r="BN15" i="2" s="1"/>
  <c r="BN21" i="2" s="1"/>
  <c r="BN46" i="2" s="1"/>
  <c r="BQ41" i="4" l="1"/>
  <c r="BQ43" i="4" s="1"/>
  <c r="BO8" i="2"/>
  <c r="BO15" i="2" s="1"/>
  <c r="BO21" i="2" s="1"/>
  <c r="BO46" i="2" s="1"/>
  <c r="BR41" i="4" l="1"/>
  <c r="BR43" i="4" s="1"/>
  <c r="BP8" i="2"/>
  <c r="BP15" i="2" s="1"/>
  <c r="BP21" i="2" s="1"/>
  <c r="BP46" i="2" s="1"/>
  <c r="BQ8" i="2" l="1"/>
  <c r="K21" i="12"/>
  <c r="K26" i="12" s="1"/>
  <c r="H29" i="12" s="1"/>
  <c r="BQ15" i="2" l="1"/>
  <c r="BQ21" i="2" s="1"/>
  <c r="BQ46" i="2" s="1"/>
  <c r="R7" i="1"/>
  <c r="R14" i="1" s="1"/>
  <c r="R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52" authorId="0" shapeId="0" xr:uid="{00000000-0006-0000-0500-000001000000}">
      <text>
        <r>
          <rPr>
            <sz val="11"/>
            <color rgb="FF000000"/>
            <rFont val="Calibri"/>
            <scheme val="minor"/>
          </rPr>
          <t>======
ID#AAAAccdpa8c
tc={3166F88A-A9FB-4581-BB25-176884844ED7}    (2022-07-03 19:31:04)
[Threaded comment]
Your version of Excel allows you to read this threaded comment; however, any edits to it will get removed if the file is opened in a newer version of Excel. Learn more: https://go.microsoft.com/fwlink/?linkid=870924
Comment:
    Account for start up time/brews before opening - formula in sales is assuming all brands are flowing and produced.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F00-000002000000}">
      <text>
        <r>
          <rPr>
            <sz val="11"/>
            <color rgb="FF000000"/>
            <rFont val="Calibri"/>
            <scheme val="minor"/>
          </rPr>
          <t>======
ID#AAAAbwXGueM
Comment    (2022-06-04 23:25:18)
2022 numbers</t>
        </r>
      </text>
    </comment>
    <comment ref="G41" authorId="0" shapeId="0" xr:uid="{00000000-0006-0000-0F00-000003000000}">
      <text>
        <r>
          <rPr>
            <sz val="11"/>
            <color rgb="FF000000"/>
            <rFont val="Calibri"/>
            <scheme val="minor"/>
          </rPr>
          <t>======
ID#AAAAbwXGueQ
Comment    (2022-06-04 23:25:18)
minus 3.5% for package and pour loss</t>
        </r>
      </text>
    </comment>
    <comment ref="P79" authorId="0" shapeId="0" xr:uid="{00000000-0006-0000-0F00-000001000000}">
      <text>
        <r>
          <rPr>
            <sz val="11"/>
            <color rgb="FF000000"/>
            <rFont val="Calibri"/>
            <scheme val="minor"/>
          </rPr>
          <t>======
ID#AAAAbwXGueU
tc={E74AFE85-BCC1-4C9B-A4B0-C485E6618798}    (2022-06-28 03:19:41)
[Threaded comment]
Your version of Excel allows you to read this threaded comment; however, any edits to it will get removed if the file is opened in a newer version of Excel. Learn more: https://go.microsoft.com/fwlink/?linkid=870924
Comment:
    changed innovation from 75% draft to 25% Draft</t>
        </r>
      </text>
    </comment>
  </commentList>
</comments>
</file>

<file path=xl/sharedStrings.xml><?xml version="1.0" encoding="utf-8"?>
<sst xmlns="http://schemas.openxmlformats.org/spreadsheetml/2006/main" count="1253" uniqueCount="670">
  <si>
    <t>STATEMENT OF OPERATIONS</t>
  </si>
  <si>
    <t>Projected Financial Statements</t>
  </si>
  <si>
    <t>Year 1</t>
  </si>
  <si>
    <t>Year 2</t>
  </si>
  <si>
    <t>Year 3</t>
  </si>
  <si>
    <t>Year 4</t>
  </si>
  <si>
    <t>Year 5</t>
  </si>
  <si>
    <t>ASSETS</t>
  </si>
  <si>
    <t>Current assets</t>
  </si>
  <si>
    <t>Cash and cash equivalents</t>
  </si>
  <si>
    <t>Accounts receivable - net</t>
  </si>
  <si>
    <t>Inventory</t>
  </si>
  <si>
    <t>Prepaid expenses and other assets</t>
  </si>
  <si>
    <t>Total current assets</t>
  </si>
  <si>
    <t>Fixed Assets - net</t>
  </si>
  <si>
    <t>Other assets</t>
  </si>
  <si>
    <t>TOTAL ASSETS</t>
  </si>
  <si>
    <t>LIABILITIES AND NET ASSETS</t>
  </si>
  <si>
    <t>Current liabilities</t>
  </si>
  <si>
    <t>Accounts Payable</t>
  </si>
  <si>
    <t>Accrued expenses</t>
  </si>
  <si>
    <t>Keg deposits</t>
  </si>
  <si>
    <t>Sales tax payable</t>
  </si>
  <si>
    <t>Excise tax payable</t>
  </si>
  <si>
    <t>Total current liabilities</t>
  </si>
  <si>
    <t>Long-term debt</t>
  </si>
  <si>
    <t>Loan</t>
  </si>
  <si>
    <t>Total long-term debt</t>
  </si>
  <si>
    <t>Total Liabilities</t>
  </si>
  <si>
    <t>Shareholders's equity</t>
  </si>
  <si>
    <t>Stock</t>
  </si>
  <si>
    <t>Additional paid-in-capital</t>
  </si>
  <si>
    <t>Accumulated earnings/(deficit)</t>
  </si>
  <si>
    <t>TOTAL LIABILITIES AND SHAREHOLDERS' EQUITY</t>
  </si>
  <si>
    <t>REVENUE</t>
  </si>
  <si>
    <t>Beer sales</t>
  </si>
  <si>
    <t xml:space="preserve">Tasting room beer sales </t>
  </si>
  <si>
    <t>Merchandise/other</t>
  </si>
  <si>
    <t>Total revenue</t>
  </si>
  <si>
    <t>COST OF GOODS SOLD</t>
  </si>
  <si>
    <t xml:space="preserve">Total cost of goods sold </t>
  </si>
  <si>
    <t>GROSS PROFIT</t>
  </si>
  <si>
    <t>OPERATING EXPENSES</t>
  </si>
  <si>
    <t>Wages and related</t>
  </si>
  <si>
    <t>Wages (GS&amp;A)</t>
  </si>
  <si>
    <t>Operating expenses</t>
  </si>
  <si>
    <t>Advertising</t>
  </si>
  <si>
    <t>Bank charges (incl merch fees)</t>
  </si>
  <si>
    <t>Depreciation</t>
  </si>
  <si>
    <t>Dues, subs, and pubs</t>
  </si>
  <si>
    <t xml:space="preserve">Equipment expense </t>
  </si>
  <si>
    <t>Insurance (excludes employee benefits)</t>
  </si>
  <si>
    <t>Licenses &amp; permits</t>
  </si>
  <si>
    <t>Meals and entertainment</t>
  </si>
  <si>
    <t>Miscellaneous</t>
  </si>
  <si>
    <t>Occupancy (rent, util, prop tax)</t>
  </si>
  <si>
    <t>Postage and delivery</t>
  </si>
  <si>
    <t>Printing</t>
  </si>
  <si>
    <t>Professional services</t>
  </si>
  <si>
    <t>Accounting</t>
  </si>
  <si>
    <t>Legal</t>
  </si>
  <si>
    <t>Other consultants</t>
  </si>
  <si>
    <t>Repair and maintenance</t>
  </si>
  <si>
    <t>Sales &amp; distribution (self-distributed)</t>
  </si>
  <si>
    <t>Supplies</t>
  </si>
  <si>
    <t>Telecommunications</t>
  </si>
  <si>
    <t>Transportation (includes mileage)</t>
  </si>
  <si>
    <t>Total operating expense</t>
  </si>
  <si>
    <t>OPERATING INCOME/(LOSS)</t>
  </si>
  <si>
    <t>OTHER INCOME/(EXPENSE)</t>
  </si>
  <si>
    <t>Interest expense</t>
  </si>
  <si>
    <t>Total other income/(expense)</t>
  </si>
  <si>
    <t>NET INCOME/(LOSS) BEFORE TAXES</t>
  </si>
  <si>
    <t>INCOME TAXES</t>
  </si>
  <si>
    <t>NET INCOME/(LOSS)</t>
  </si>
  <si>
    <t>STATEMENT OF CASH FLOWS</t>
  </si>
  <si>
    <t>CASH FLOWS FROM OPERATING ACTIVITIES:</t>
  </si>
  <si>
    <t>Net income/(loss)</t>
  </si>
  <si>
    <t>Adjustments to reconcile net income to</t>
  </si>
  <si>
    <t xml:space="preserve"> net cash used for operating activities:</t>
  </si>
  <si>
    <t>Changes in assets and liabilities:</t>
  </si>
  <si>
    <t>Accounts payable</t>
  </si>
  <si>
    <t>Net cash provided by operating activities</t>
  </si>
  <si>
    <t>CASH FLOWS FROM/(USED FOR) INVESTING ACTIVITIES:</t>
  </si>
  <si>
    <t>Capital expenditures</t>
  </si>
  <si>
    <t>Net cash from/(used for) investing activities</t>
  </si>
  <si>
    <t>CASH FLOWS FROM/(USED FOR) FINANCING ACTIVITIES:</t>
  </si>
  <si>
    <t>Payments on long-term debt</t>
  </si>
  <si>
    <t>Proceeds from long-term debt</t>
  </si>
  <si>
    <t>Equity</t>
  </si>
  <si>
    <t>Cash Dividends Paid</t>
  </si>
  <si>
    <t>Net cashfrom/(used for) financing activities</t>
  </si>
  <si>
    <t>NET INCREASE (DECREASE) IN CASH AND CASH EQUIVALENTS</t>
  </si>
  <si>
    <t>CASH AND CASH EQUIVALENTS, Beginning</t>
  </si>
  <si>
    <t>CASH AND CASH EQUIVALENTS, End of year</t>
  </si>
  <si>
    <t>Not Audited</t>
  </si>
  <si>
    <t>ROI</t>
  </si>
  <si>
    <t>STATEMENT OF FINANCIAL POSITION</t>
  </si>
  <si>
    <t>YEAR 1</t>
  </si>
  <si>
    <t>YEAR 2</t>
  </si>
  <si>
    <t>YEAR 3</t>
  </si>
  <si>
    <t>YEAR 4</t>
  </si>
  <si>
    <t>YEAR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</si>
  <si>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</si>
  <si>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</si>
  <si>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</si>
  <si>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</si>
  <si>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</si>
  <si>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</si>
  <si>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</si>
  <si>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</si>
  <si>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</si>
  <si>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</si>
  <si>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</si>
  <si>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</si>
  <si>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Interim financial statements-Accrual basis</t>
  </si>
  <si>
    <t>sub-total</t>
  </si>
  <si>
    <t>TOTAL</t>
  </si>
  <si>
    <t>Whole Sale Beer sales</t>
  </si>
  <si>
    <t>Phone/Internet/TV</t>
  </si>
  <si>
    <t>CASH AND CASH EQUIVALENTS, End of month</t>
  </si>
  <si>
    <t>Assumptions</t>
  </si>
  <si>
    <t xml:space="preserve">The following are assumptions used in the preparation of the brewery </t>
  </si>
  <si>
    <t>projections.  Blue text on this page can be modified so that the user can make changes</t>
  </si>
  <si>
    <t xml:space="preserve">as he/she desires. </t>
  </si>
  <si>
    <t>Investment</t>
  </si>
  <si>
    <t>Founder investment</t>
  </si>
  <si>
    <t>Amount</t>
  </si>
  <si>
    <t>Month of investment</t>
  </si>
  <si>
    <t>Amount - Equipment</t>
  </si>
  <si>
    <t>Angel/VC</t>
  </si>
  <si>
    <t>Friends &amp; family raise</t>
  </si>
  <si>
    <t>Loan(s)</t>
  </si>
  <si>
    <t xml:space="preserve">Amount </t>
  </si>
  <si>
    <t>Term in mos</t>
  </si>
  <si>
    <t>Interest rate</t>
  </si>
  <si>
    <t>Private placement - legal</t>
  </si>
  <si>
    <t>Yes</t>
  </si>
  <si>
    <t>Use attorney</t>
  </si>
  <si>
    <t>Cost</t>
  </si>
  <si>
    <t>Month incurred</t>
  </si>
  <si>
    <t xml:space="preserve">EXCISE TAX: </t>
  </si>
  <si>
    <t>Federal (TTB) ($3.5 on first 60,000 bbls for brewer who produces less than 2 million barrels. $16/bbl after that)</t>
  </si>
  <si>
    <t xml:space="preserve">Accounts payable payment </t>
  </si>
  <si>
    <t>Current month</t>
  </si>
  <si>
    <t>1st month following</t>
  </si>
  <si>
    <t>Monthly expenses</t>
  </si>
  <si>
    <t>Increases</t>
  </si>
  <si>
    <t>StartUp Fees &amp; Expenses</t>
  </si>
  <si>
    <t>YR2</t>
  </si>
  <si>
    <t>YR3</t>
  </si>
  <si>
    <t>YR4</t>
  </si>
  <si>
    <t>YR5</t>
  </si>
  <si>
    <t>Permits/Licenses</t>
  </si>
  <si>
    <t>Dues, subscriptions</t>
  </si>
  <si>
    <t>Insurance (excl employee benes)</t>
  </si>
  <si>
    <t>Licenses &amp; permits-annually</t>
  </si>
  <si>
    <t>Miscellaneous (Website, gfx work)</t>
  </si>
  <si>
    <t>Rent (incl. NNN)</t>
  </si>
  <si>
    <t>Month rent begins</t>
  </si>
  <si>
    <t>Electric Utility</t>
  </si>
  <si>
    <t xml:space="preserve"> Water</t>
  </si>
  <si>
    <t>Natural Gas</t>
  </si>
  <si>
    <t>Furniture</t>
  </si>
  <si>
    <t xml:space="preserve">   Trash</t>
  </si>
  <si>
    <t>Accounting/Bank Fees</t>
  </si>
  <si>
    <t xml:space="preserve">Legal </t>
  </si>
  <si>
    <t>Sales &amp; distribution - % of whsle sales (self-distributed)</t>
  </si>
  <si>
    <t>Supplies (misc.)</t>
  </si>
  <si>
    <t>Transportation/Gas</t>
  </si>
  <si>
    <t>Janitorial</t>
  </si>
  <si>
    <t xml:space="preserve">O2 and CO2 service </t>
  </si>
  <si>
    <t>Production</t>
  </si>
  <si>
    <t xml:space="preserve">Brewed (bbls) </t>
  </si>
  <si>
    <t>Core - Lager</t>
  </si>
  <si>
    <t>Core - Blonde</t>
  </si>
  <si>
    <t>Core - IPA</t>
  </si>
  <si>
    <t>Core - NEIPA</t>
  </si>
  <si>
    <t>Core - Seltzer</t>
  </si>
  <si>
    <t>Rotating - Dark #1</t>
  </si>
  <si>
    <t>Rotating - Dark #2</t>
  </si>
  <si>
    <t>Rotating - Dark #3</t>
  </si>
  <si>
    <t>Rotating - Dark #4</t>
  </si>
  <si>
    <t>Rotating - Fruit/Sour #1</t>
  </si>
  <si>
    <t>Rotating - Fruit/Sour #2</t>
  </si>
  <si>
    <t>Rotating - Fruit/Sour #3</t>
  </si>
  <si>
    <t>Rotating - Fruit/Sour #4</t>
  </si>
  <si>
    <t>Rotating - Fruit/Sour #5</t>
  </si>
  <si>
    <t>Rotating - NEIPA #1</t>
  </si>
  <si>
    <t>Rotating - NEIPA #2</t>
  </si>
  <si>
    <t>Rotating - NEIPA #3</t>
  </si>
  <si>
    <t>Rotating - NEIPA #4</t>
  </si>
  <si>
    <t>Rotating - NEIPA #5</t>
  </si>
  <si>
    <t>Rotating - NEIPA #6</t>
  </si>
  <si>
    <t>Rotating - NEIPA #7</t>
  </si>
  <si>
    <t>Rotating - NEIPA #8</t>
  </si>
  <si>
    <t>Rotating - Double IPA #1</t>
  </si>
  <si>
    <t>Rotating - Double IPA #2</t>
  </si>
  <si>
    <t>Rotating - Double IPA #3</t>
  </si>
  <si>
    <t>Rotating - Double IPA #4</t>
  </si>
  <si>
    <t>Seasonal - Lager #1</t>
  </si>
  <si>
    <t>Seasonal - Lager #2</t>
  </si>
  <si>
    <t>Seasonal - Lager #3</t>
  </si>
  <si>
    <t>Seasonal - Lager #4</t>
  </si>
  <si>
    <t>Seasonal - Stout #1</t>
  </si>
  <si>
    <t>Seasonal - Stout #2</t>
  </si>
  <si>
    <t>Limited - Innovation #1</t>
  </si>
  <si>
    <t>Limited - Innovation #2</t>
  </si>
  <si>
    <t>Limited - Barrel Aged #1</t>
  </si>
  <si>
    <t>Limited - Barrel Aged #2</t>
  </si>
  <si>
    <t>Packaging</t>
  </si>
  <si>
    <t>BBLs</t>
  </si>
  <si>
    <t>Bulk</t>
  </si>
  <si>
    <t>Beginning</t>
  </si>
  <si>
    <t>Produced</t>
  </si>
  <si>
    <t>Packaged (Out)</t>
  </si>
  <si>
    <t>On-hand</t>
  </si>
  <si>
    <t xml:space="preserve">16oz Case </t>
  </si>
  <si>
    <t>1/6 bbl</t>
  </si>
  <si>
    <t>1/2 bbl</t>
  </si>
  <si>
    <t>Total</t>
  </si>
  <si>
    <t>Inventory on-hand(units)</t>
  </si>
  <si>
    <t>16oz Case</t>
  </si>
  <si>
    <t>Packaged</t>
  </si>
  <si>
    <t>Sold-Tasting room</t>
  </si>
  <si>
    <t>Sold-wholesale</t>
  </si>
  <si>
    <t>Ending</t>
  </si>
  <si>
    <t>1/6 bbl (each)</t>
  </si>
  <si>
    <t>Transferred to tasting room</t>
  </si>
  <si>
    <t>1/2 bbl (each)</t>
  </si>
  <si>
    <t>Tasting room inventory</t>
  </si>
  <si>
    <t>Draft (bbls)</t>
  </si>
  <si>
    <t>Transferred from on-hand inventory</t>
  </si>
  <si>
    <t>Sold-tasting room</t>
  </si>
  <si>
    <t>Excise taxes $</t>
  </si>
  <si>
    <t>Federal</t>
  </si>
  <si>
    <t>State</t>
  </si>
  <si>
    <t>Total excise taxes $</t>
  </si>
  <si>
    <t xml:space="preserve">Total ending inventory </t>
  </si>
  <si>
    <t>Total bbls</t>
  </si>
  <si>
    <t>Core $</t>
  </si>
  <si>
    <t>Total $</t>
  </si>
  <si>
    <t>Format/product mix</t>
  </si>
  <si>
    <t>%</t>
  </si>
  <si>
    <t>COGS</t>
  </si>
  <si>
    <t xml:space="preserve"> (labor is not included here, it is added in on the SOO)</t>
  </si>
  <si>
    <t>AVERAGE COST/bbl CALCULATION</t>
  </si>
  <si>
    <t>Approximate Ingredients Batch (Based on 10 BBL estimates with yield)</t>
  </si>
  <si>
    <t>Update to Pull from recipe Sheet</t>
  </si>
  <si>
    <t>Brand</t>
  </si>
  <si>
    <t>Cost/BBL(Brite)</t>
  </si>
  <si>
    <t>Capital purchases</t>
  </si>
  <si>
    <t xml:space="preserve">It is assumed that all assets are paid in cash or with credit card.  For financed purchases, </t>
  </si>
  <si>
    <t>in addition to below, go to "Assumptions" tab and enter financing detail under Loans.</t>
  </si>
  <si>
    <t>Purchase Information</t>
  </si>
  <si>
    <t>Mo # of Purchase</t>
  </si>
  <si>
    <t>Brief Description</t>
  </si>
  <si>
    <t>Vendor</t>
  </si>
  <si>
    <t>Date Approved</t>
  </si>
  <si>
    <t>Method</t>
  </si>
  <si>
    <t>Life in Yrs</t>
  </si>
  <si>
    <t>Monthly</t>
  </si>
  <si>
    <t>End</t>
  </si>
  <si>
    <t>Carbon Filter</t>
  </si>
  <si>
    <t>Brewery Hoses</t>
  </si>
  <si>
    <t>Utility Valves/Temp Probes/Wires</t>
  </si>
  <si>
    <t>Totals by Month</t>
  </si>
  <si>
    <t>YR1 Total</t>
  </si>
  <si>
    <t>YR2 Total</t>
  </si>
  <si>
    <t>YR3 Total</t>
  </si>
  <si>
    <t>YR4 Total</t>
  </si>
  <si>
    <t>YR5 Total</t>
  </si>
  <si>
    <t>Labor</t>
  </si>
  <si>
    <t>Rates</t>
  </si>
  <si>
    <t>Annual $</t>
  </si>
  <si>
    <t>Tax &amp; Benes</t>
  </si>
  <si>
    <t>Admin</t>
  </si>
  <si>
    <t>Tasting room</t>
  </si>
  <si>
    <t>Bartender</t>
  </si>
  <si>
    <t xml:space="preserve">TOTAL </t>
  </si>
  <si>
    <t>FTE's</t>
  </si>
  <si>
    <t>Income Statement</t>
  </si>
  <si>
    <t xml:space="preserve">                   Year 1</t>
  </si>
  <si>
    <t xml:space="preserve">                   Year 2</t>
  </si>
  <si>
    <t xml:space="preserve">                   Year 3</t>
  </si>
  <si>
    <t xml:space="preserve">                   Year 4</t>
  </si>
  <si>
    <t xml:space="preserve">                   Year 5</t>
  </si>
  <si>
    <t>$</t>
  </si>
  <si>
    <t>Gross Profit</t>
  </si>
  <si>
    <t>EBITDA</t>
  </si>
  <si>
    <t>Net Income</t>
  </si>
  <si>
    <t>Cash Position</t>
  </si>
  <si>
    <t>Depreciation schedule</t>
  </si>
  <si>
    <t>Description</t>
  </si>
  <si>
    <t>Begin</t>
  </si>
  <si>
    <t>TOTALS</t>
  </si>
  <si>
    <t>Loan Amortization Schedule</t>
  </si>
  <si>
    <t>Loan 1</t>
  </si>
  <si>
    <t>Loan 2</t>
  </si>
  <si>
    <t>Loan Amount</t>
  </si>
  <si>
    <t>Loan Rate</t>
  </si>
  <si>
    <t>No. pmts</t>
  </si>
  <si>
    <t>Principal Balance</t>
  </si>
  <si>
    <t>adj month</t>
  </si>
  <si>
    <t>Payment No.</t>
  </si>
  <si>
    <t>Principal</t>
  </si>
  <si>
    <t>Interest</t>
  </si>
  <si>
    <t>Before Pmt.</t>
  </si>
  <si>
    <t>After Pmt.</t>
  </si>
  <si>
    <t>Month</t>
  </si>
  <si>
    <t>principal</t>
  </si>
  <si>
    <t>interest</t>
  </si>
  <si>
    <t>No_Mos</t>
  </si>
  <si>
    <t>Formats</t>
  </si>
  <si>
    <t>1_bbl_equiv</t>
  </si>
  <si>
    <t>Yes_No</t>
  </si>
  <si>
    <t>4 oz Pour</t>
  </si>
  <si>
    <t>10oz Pour</t>
  </si>
  <si>
    <t>No</t>
  </si>
  <si>
    <t>12oz Pour</t>
  </si>
  <si>
    <t>14oz Pour</t>
  </si>
  <si>
    <t>16oz Pour</t>
  </si>
  <si>
    <t>16oz Case Cans</t>
  </si>
  <si>
    <t>gal</t>
  </si>
  <si>
    <t>oz</t>
  </si>
  <si>
    <t>ml</t>
  </si>
  <si>
    <t>Draft/Can Numbers</t>
  </si>
  <si>
    <t>COGS per brite BBL</t>
  </si>
  <si>
    <t>COGS per oz</t>
  </si>
  <si>
    <t>Draft Pour Size (oz)</t>
  </si>
  <si>
    <t>COGS per Pour</t>
  </si>
  <si>
    <t>Draft PTC</t>
  </si>
  <si>
    <t>Draft Gross Profit</t>
  </si>
  <si>
    <t>Draft Mark Up</t>
  </si>
  <si>
    <t>Draft Gross Margin Percent</t>
  </si>
  <si>
    <t>Can 4pk PTC</t>
  </si>
  <si>
    <t>4 Packs Available</t>
  </si>
  <si>
    <t>Est. Days available</t>
  </si>
  <si>
    <t>4pks Per Day</t>
  </si>
  <si>
    <t>Ounces</t>
  </si>
  <si>
    <t>Brewhouse BBL/Batch Size</t>
  </si>
  <si>
    <t>Update Batch #s Here</t>
  </si>
  <si>
    <t>var.</t>
  </si>
  <si>
    <t>Est. Batch Yield %</t>
  </si>
  <si>
    <t>Total Batch Cost</t>
  </si>
  <si>
    <t>Est. Batches(yr)</t>
  </si>
  <si>
    <t>Total BBLs Brewed</t>
  </si>
  <si>
    <t>Total BBLs Yield</t>
  </si>
  <si>
    <t>BBLs to Sell</t>
  </si>
  <si>
    <t>Draft %</t>
  </si>
  <si>
    <t>Can %</t>
  </si>
  <si>
    <t>BBLs for Draft</t>
  </si>
  <si>
    <t>Draft Per Cycle</t>
  </si>
  <si>
    <t># Pours Available</t>
  </si>
  <si>
    <t>Draft Revenue</t>
  </si>
  <si>
    <t>BBLs for Cans</t>
  </si>
  <si>
    <t># Cases (4pk-16oz)</t>
  </si>
  <si>
    <t xml:space="preserve">Canning COGS </t>
  </si>
  <si>
    <t>4 Pack Gross Profit</t>
  </si>
  <si>
    <t>Total Oz Draft Vol</t>
  </si>
  <si>
    <t>Est. Days on tap</t>
  </si>
  <si>
    <t>Total daily # Taster</t>
  </si>
  <si>
    <t>total Daily oz taster</t>
  </si>
  <si>
    <t>daily # half pour</t>
  </si>
  <si>
    <t>total daily half pour oz</t>
  </si>
  <si>
    <t>daily full pour</t>
  </si>
  <si>
    <t>Weekly</t>
  </si>
  <si>
    <t>Tank Residency</t>
  </si>
  <si>
    <t>Days</t>
  </si>
  <si>
    <t># Batches</t>
  </si>
  <si>
    <t>Total FV Tank Days</t>
  </si>
  <si>
    <t>Brand Mix %</t>
  </si>
  <si>
    <t>Est Days on Draft</t>
  </si>
  <si>
    <t>Pours to sell per batch</t>
  </si>
  <si>
    <t>Pours Per Day</t>
  </si>
  <si>
    <t>Totals</t>
  </si>
  <si>
    <t>UNIs Needed w/20%</t>
  </si>
  <si>
    <r>
      <rPr>
        <b/>
        <sz val="10"/>
        <color rgb="FF3F3F3F"/>
        <rFont val="Calibri"/>
      </rPr>
      <t xml:space="preserve">Capactiy </t>
    </r>
    <r>
      <rPr>
        <b/>
        <i/>
        <sz val="10"/>
        <color rgb="FF3F3F3F"/>
        <rFont val="Calibri"/>
      </rPr>
      <t>#</t>
    </r>
    <r>
      <rPr>
        <b/>
        <sz val="10"/>
        <color rgb="FF3F3F3F"/>
        <rFont val="Calibri"/>
      </rPr>
      <t xml:space="preserve"> UNI Tanks</t>
    </r>
  </si>
  <si>
    <t>Capacity Days</t>
  </si>
  <si>
    <t>Total BBLs Possible</t>
  </si>
  <si>
    <t># Brews Per Week</t>
  </si>
  <si>
    <t>Unit Profitability Assumptions</t>
  </si>
  <si>
    <t>Packaging Materials</t>
  </si>
  <si>
    <t>C040612L</t>
  </si>
  <si>
    <t>C040612P</t>
  </si>
  <si>
    <t>C060416L</t>
  </si>
  <si>
    <t>C060416P</t>
  </si>
  <si>
    <t>BSG Pricing</t>
  </si>
  <si>
    <t>Berlin</t>
  </si>
  <si>
    <t>Can Works</t>
  </si>
  <si>
    <t>CanWorks</t>
  </si>
  <si>
    <t>Can, each</t>
  </si>
  <si>
    <t>Cases to Produce</t>
  </si>
  <si>
    <t>wont hit MOQ for FLT</t>
  </si>
  <si>
    <t>12oz Can Blank - Pallet</t>
  </si>
  <si>
    <t>End, each</t>
  </si>
  <si>
    <t>Supplier(Pick)</t>
  </si>
  <si>
    <t>12oz Can Blank - FTL</t>
  </si>
  <si>
    <t>Label, each</t>
  </si>
  <si>
    <t>Pick Size/Format</t>
  </si>
  <si>
    <t>12oz Can Printed - FTL</t>
  </si>
  <si>
    <t>Plus Setup Fees</t>
  </si>
  <si>
    <t>PakTech, each</t>
  </si>
  <si>
    <t>Total Can Cost</t>
  </si>
  <si>
    <t>16oz Can Blank - Pallet</t>
  </si>
  <si>
    <t>Tray, each</t>
  </si>
  <si>
    <t>16oz Can Blank - FTL</t>
  </si>
  <si>
    <t>Packaging cost / case</t>
  </si>
  <si>
    <t>16oz Can Printed - FTL</t>
  </si>
  <si>
    <t>Lids - SuperEnds</t>
  </si>
  <si>
    <t>silver</t>
  </si>
  <si>
    <t>Kegging Fees &amp; Materials</t>
  </si>
  <si>
    <t>K155</t>
  </si>
  <si>
    <t>K052</t>
  </si>
  <si>
    <t>6pk - Paktech</t>
  </si>
  <si>
    <t>Keg Fee (rental?)</t>
  </si>
  <si>
    <t>4pk - Paktech</t>
  </si>
  <si>
    <t>Cap</t>
  </si>
  <si>
    <t>Collar</t>
  </si>
  <si>
    <t>Label</t>
  </si>
  <si>
    <t>x</t>
  </si>
  <si>
    <t>Packaging costs / kegs</t>
  </si>
  <si>
    <t>Tray</t>
  </si>
  <si>
    <t>$ Labor &amp; overhead / bbl</t>
  </si>
  <si>
    <t>2023 Budget COGS</t>
  </si>
  <si>
    <t>Less: Material costs</t>
  </si>
  <si>
    <t>Operating Hours</t>
  </si>
  <si>
    <t>Labor &amp; overhead</t>
  </si>
  <si>
    <t>Open</t>
  </si>
  <si>
    <t>Close</t>
  </si>
  <si>
    <t>Total Hours</t>
  </si>
  <si>
    <t>Customer %</t>
  </si>
  <si>
    <t>Daily Pours</t>
  </si>
  <si>
    <t>Pours Per Hour</t>
  </si>
  <si>
    <t>Daily 4pks</t>
  </si>
  <si>
    <t>2023 Budget Volume (bbls)</t>
  </si>
  <si>
    <t>Mon</t>
  </si>
  <si>
    <t>$Labor &amp; overhead / bbl</t>
  </si>
  <si>
    <t>Tue</t>
  </si>
  <si>
    <t>Wed</t>
  </si>
  <si>
    <t>Packaging loss</t>
  </si>
  <si>
    <t>Thu</t>
  </si>
  <si>
    <t>Fri</t>
  </si>
  <si>
    <t>Excise taxes</t>
  </si>
  <si>
    <t>Sat</t>
  </si>
  <si>
    <t>TTB $ / bbl</t>
  </si>
  <si>
    <t>Sun</t>
  </si>
  <si>
    <t>CO $ / gallon</t>
  </si>
  <si>
    <t xml:space="preserve"> / C040612</t>
  </si>
  <si>
    <t>WEEKLY</t>
  </si>
  <si>
    <t xml:space="preserve"> / C060416</t>
  </si>
  <si>
    <t>Tier Margins</t>
  </si>
  <si>
    <t>Supplier</t>
  </si>
  <si>
    <t>Wholesaler</t>
  </si>
  <si>
    <t>Retailer</t>
  </si>
  <si>
    <t>Draft</t>
  </si>
  <si>
    <t>Brewer/Founder</t>
  </si>
  <si>
    <t>Bank charges/CC Fee (% of rev)</t>
  </si>
  <si>
    <t>Draft/BBL</t>
  </si>
  <si>
    <t>Central Brewing Company</t>
  </si>
  <si>
    <t>4.225% MO, 2.875% Johnson CO, 1.875% Warrensburg, 0.5% Special</t>
  </si>
  <si>
    <t>SALES TAX (Total):</t>
  </si>
  <si>
    <t>MO DOR</t>
  </si>
  <si>
    <t>State (MO) ($0.08/gallon) as long as under 10k bbls</t>
  </si>
  <si>
    <t>Brewery license beer only</t>
  </si>
  <si>
    <t>$5/bbl up to $250</t>
  </si>
  <si>
    <t>Retail liquor by the drink</t>
  </si>
  <si>
    <t>Additional licenses</t>
  </si>
  <si>
    <t>Sunday license $200 + Tasting license $25</t>
  </si>
  <si>
    <t>Engineer, Architect</t>
  </si>
  <si>
    <t>Annual Renewal</t>
  </si>
  <si>
    <t>Total seats</t>
  </si>
  <si>
    <t>Monday</t>
  </si>
  <si>
    <t>Tuesday</t>
  </si>
  <si>
    <t>Wednesday</t>
  </si>
  <si>
    <t>Thursday</t>
  </si>
  <si>
    <t>Friday</t>
  </si>
  <si>
    <t>Saturday</t>
  </si>
  <si>
    <t>Sunday</t>
  </si>
  <si>
    <t>Total drinks</t>
  </si>
  <si>
    <t>Drinks pp</t>
  </si>
  <si>
    <t>Seat turns</t>
  </si>
  <si>
    <t>Patrons</t>
  </si>
  <si>
    <t>% liquor</t>
  </si>
  <si>
    <t>Cocktails</t>
  </si>
  <si>
    <t>Beers</t>
  </si>
  <si>
    <t>Gray cells can be edited</t>
  </si>
  <si>
    <t>Seasonality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</si>
  <si>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</si>
  <si>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</si>
  <si>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</si>
  <si>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</si>
  <si>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</si>
  <si>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</si>
  <si>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</si>
  <si>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</si>
  <si>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</si>
  <si>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</si>
  <si>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</si>
  <si>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Weeks</t>
  </si>
  <si>
    <t>Factor</t>
  </si>
  <si>
    <t>Food pp ($)</t>
  </si>
  <si>
    <t>Food ($)</t>
  </si>
  <si>
    <t>Total Food</t>
  </si>
  <si>
    <t>Food Revenue</t>
  </si>
  <si>
    <t>Liquor Revenue</t>
  </si>
  <si>
    <t>Core 1 - Lager</t>
  </si>
  <si>
    <t>Seasonal #1</t>
  </si>
  <si>
    <t>Seasonal #2</t>
  </si>
  <si>
    <t>Special release</t>
  </si>
  <si>
    <t>size (oz)</t>
  </si>
  <si>
    <t>mix</t>
  </si>
  <si>
    <t>To go sales pp</t>
  </si>
  <si>
    <t>To go total (4pk)</t>
  </si>
  <si>
    <t>To go sales (4pk)</t>
  </si>
  <si>
    <t>To go (4pk x 16oz)</t>
  </si>
  <si>
    <t>To Go</t>
  </si>
  <si>
    <t>Tasting room Volume (bbls)</t>
  </si>
  <si>
    <t>Total Volume</t>
  </si>
  <si>
    <t>rev/bbl</t>
  </si>
  <si>
    <t>Can (16oz)</t>
  </si>
  <si>
    <t>Paktech (4pk)</t>
  </si>
  <si>
    <t>Labels</t>
  </si>
  <si>
    <t>Lid (202 10-state)</t>
  </si>
  <si>
    <t>Price</t>
  </si>
  <si>
    <t>Per Case</t>
  </si>
  <si>
    <t>per bbl</t>
  </si>
  <si>
    <t>Per 4pk</t>
  </si>
  <si>
    <t>Volume growth</t>
  </si>
  <si>
    <t>Price increase</t>
  </si>
  <si>
    <t>COGS growth</t>
  </si>
  <si>
    <t>Pkg/BBL</t>
  </si>
  <si>
    <t>Package Revenue</t>
  </si>
  <si>
    <t>Pricing (Yr 1)</t>
  </si>
  <si>
    <t>Beer Sales</t>
  </si>
  <si>
    <t>General Manager</t>
  </si>
  <si>
    <t>Kitchen</t>
  </si>
  <si>
    <t>Cook</t>
  </si>
  <si>
    <t>Marketing/events</t>
  </si>
  <si>
    <t>Bartender/Mgr</t>
  </si>
  <si>
    <t>Server</t>
  </si>
  <si>
    <t>Assistant brewer</t>
  </si>
  <si>
    <t>Asst Mgr</t>
  </si>
  <si>
    <t>To go beer sales</t>
  </si>
  <si>
    <t>Food Sales</t>
  </si>
  <si>
    <t>Whole Sale Beer</t>
  </si>
  <si>
    <t>Tasting room beer</t>
  </si>
  <si>
    <t>Total COGS</t>
  </si>
  <si>
    <t>To go beer</t>
  </si>
  <si>
    <t>Food</t>
  </si>
  <si>
    <t>Liquor Sales</t>
  </si>
  <si>
    <t>Liquor</t>
  </si>
  <si>
    <t>Production labor</t>
  </si>
  <si>
    <t>Accountant</t>
  </si>
  <si>
    <t>Taproom Labor</t>
  </si>
  <si>
    <t>DEPRECIATION AND AMORTIZATION</t>
  </si>
  <si>
    <t>EBIT</t>
  </si>
  <si>
    <t>INCOME TAX:</t>
  </si>
  <si>
    <t>4% MO + 21% Federal</t>
  </si>
  <si>
    <t>Excise Tax expense</t>
  </si>
  <si>
    <t>Net revenue</t>
  </si>
  <si>
    <t>Total depreciation &amp; amortization</t>
  </si>
  <si>
    <t>Renovation</t>
  </si>
  <si>
    <t>Website, branding</t>
  </si>
  <si>
    <t>Kitchen Equipment</t>
  </si>
  <si>
    <t>ERP</t>
  </si>
  <si>
    <t>POS</t>
  </si>
  <si>
    <t>IT (Other)</t>
  </si>
  <si>
    <t>Cookware</t>
  </si>
  <si>
    <t>Dishes, silverware</t>
  </si>
  <si>
    <t>Barware</t>
  </si>
  <si>
    <t>Beer/Raw Materials</t>
  </si>
  <si>
    <t>Net Revenue</t>
  </si>
  <si>
    <t>SG&amp;A Expenses</t>
  </si>
  <si>
    <t>Core 2 - Hoppy Pale</t>
  </si>
  <si>
    <t>Core 3 - Red Ale</t>
  </si>
  <si>
    <t>Rotating Sour</t>
  </si>
  <si>
    <t>Core 4 - Dark (Porter?)</t>
  </si>
  <si>
    <t>Rotating IPA #1</t>
  </si>
  <si>
    <t>Rotating IPA #2</t>
  </si>
  <si>
    <t>Cases to go</t>
  </si>
  <si>
    <t>Real estate (Leasing)</t>
  </si>
  <si>
    <t>Mueller</t>
  </si>
  <si>
    <t>Abe</t>
  </si>
  <si>
    <t>Keg Washer (Keg Commander)</t>
  </si>
  <si>
    <t>RO Filter</t>
  </si>
  <si>
    <t>Brewhouse, 5 fermentors, HLT, CLT, mill, chiller, 12 serving tanks, two foeders, hand pump, 2 HMI panels</t>
  </si>
  <si>
    <t>1/2 bbl kegs</t>
  </si>
  <si>
    <t>1/6 bbl kegs</t>
  </si>
  <si>
    <t>Pilot brew system</t>
  </si>
  <si>
    <t>SS Brewtech</t>
  </si>
  <si>
    <t>1/4 bbl kegs</t>
  </si>
  <si>
    <t>Pilot fermentors x3</t>
  </si>
  <si>
    <t>Grain/etc storage</t>
  </si>
  <si>
    <t>W'burg liquor btd</t>
  </si>
  <si>
    <t>W'burg liquor Sunday sales</t>
  </si>
  <si>
    <t>Malt liquor and light wine</t>
  </si>
  <si>
    <t>Package sales (excludes liquor)</t>
  </si>
  <si>
    <t>$169/yr MBAA, $195/yr BA, $899 Untapp'd</t>
  </si>
  <si>
    <t>Canning line</t>
  </si>
  <si>
    <t>Taxes</t>
  </si>
  <si>
    <t>Dividends</t>
  </si>
  <si>
    <t>Revenue</t>
  </si>
  <si>
    <t>Contingency (10%)</t>
  </si>
  <si>
    <t>Version</t>
  </si>
  <si>
    <t>Date</t>
  </si>
  <si>
    <t>Detail</t>
  </si>
  <si>
    <t>1.0</t>
  </si>
  <si>
    <t>First draft</t>
  </si>
  <si>
    <t>1.1</t>
  </si>
  <si>
    <t>Total long-term assets</t>
  </si>
  <si>
    <t>Brewing Equipment</t>
  </si>
  <si>
    <t>Marketing</t>
  </si>
  <si>
    <t>Training</t>
  </si>
  <si>
    <t>Soft open</t>
  </si>
  <si>
    <t>Misceellaneous supplies</t>
  </si>
  <si>
    <t>Cash Required (2 mos. SG&amp;A)</t>
  </si>
  <si>
    <t>Total Expenses</t>
  </si>
  <si>
    <t>Total Start-up funding required</t>
  </si>
  <si>
    <t>CASH FLOW USED FOR START-UP EXPENSES</t>
  </si>
  <si>
    <t>Start-up expenses</t>
  </si>
  <si>
    <t>Added 10% contingency to Capital plan, repaired interest calculations, added charts</t>
  </si>
  <si>
    <t>Version uses debt rather than founder investment</t>
  </si>
  <si>
    <t>1.11</t>
  </si>
  <si>
    <t>2.0</t>
  </si>
  <si>
    <t>Retail discounts</t>
  </si>
  <si>
    <t>Wholesale volume</t>
  </si>
  <si>
    <t>As below % of tasting room volume</t>
  </si>
  <si>
    <t>Wholesale revenue</t>
  </si>
  <si>
    <t>Prices</t>
  </si>
  <si>
    <t>Event rental per month</t>
  </si>
  <si>
    <t>Event only</t>
  </si>
  <si>
    <t>Full</t>
  </si>
  <si>
    <t>Apply Seasonality</t>
  </si>
  <si>
    <t>Apply YoY growth</t>
  </si>
  <si>
    <t>Overhead</t>
  </si>
  <si>
    <t>Employees</t>
  </si>
  <si>
    <t>Hours</t>
  </si>
  <si>
    <t>Wage</t>
  </si>
  <si>
    <t>Event Revenue</t>
  </si>
  <si>
    <t>Event Wages</t>
  </si>
  <si>
    <t>PTR (per 1/6 bbl)</t>
  </si>
  <si>
    <t>Depr/Amortization</t>
  </si>
  <si>
    <t>Added Events, wholesale beer, and discounts; updated exec summary calcs</t>
  </si>
  <si>
    <t>~4 hours</t>
  </si>
  <si>
    <t>Full day</t>
  </si>
  <si>
    <t>Off peak</t>
  </si>
  <si>
    <t>Short</t>
  </si>
  <si>
    <t>2.01</t>
  </si>
  <si>
    <t>Cocktail price</t>
  </si>
  <si>
    <t>Whsl /bbl</t>
  </si>
  <si>
    <t>keg cap + collar price</t>
  </si>
  <si>
    <t>Cost/bbl (Yr 1)</t>
  </si>
  <si>
    <t>Cost of Goods Sold</t>
  </si>
  <si>
    <t>Added wholesale beer COGS; fixed compounding price and COGS growth; Minor updates not impacting results</t>
  </si>
  <si>
    <t>Annual visitors</t>
  </si>
  <si>
    <t>Check ave</t>
  </si>
  <si>
    <t>Wholesale</t>
  </si>
  <si>
    <t>Retail beer</t>
  </si>
  <si>
    <t>Merch</t>
  </si>
  <si>
    <t>Sustaining CAPEX</t>
  </si>
  <si>
    <t>EXECUTIVE SUMMARY</t>
  </si>
  <si>
    <t>500/mo virtual CPA</t>
  </si>
  <si>
    <t>FTE BOH</t>
  </si>
  <si>
    <t>FTE FOH</t>
  </si>
  <si>
    <t>SG&amp;A FTE</t>
  </si>
  <si>
    <t>Prod FTE</t>
  </si>
  <si>
    <t>Cash for investment and dividends</t>
  </si>
  <si>
    <t>2.04</t>
  </si>
  <si>
    <t>Added FTE by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</si>
</sst>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s\t\a\nd\a\rd"/>
    <numFmt numFmtId="167" formatCode="_(&quot;$&quot;* #,##0.0_);_(&quot;$&quot;* \(#,##0.0\);_(&quot;$&quot;* &quot;-&quot;??_);_(@_)"/>
    <numFmt numFmtId="168" formatCode="[$-409]d\-mmm\-yy"/>
    <numFmt numFmtId="169" formatCode="_(&quot;$&quot;* #,##0_);_(&quot;$&quot;* \(#,##0\);_(&quot;$&quot;* &quot;-&quot;??_);_(@_)"/>
    <numFmt numFmtId="170" formatCode="0.000%"/>
    <numFmt numFmtId="171" formatCode="_(* #,##0.000_);_(* \(#,##0.000\);_(* &quot;-&quot;??_);_(@_)"/>
    <numFmt numFmtId="172" formatCode="&quot;$&quot;#,##0.000"/>
    <numFmt numFmtId="173" formatCode="_(&quot;$&quot;* #,##0.000_);_(&quot;$&quot;* \(#,##0.000\);_(&quot;$&quot;* &quot;-&quot;??_);_(@_)"/>
    <numFmt numFmtId="174" formatCode="0.0"/>
    <numFmt numFmtId="175" formatCode="0.0000"/>
    <numFmt numFmtId="176" formatCode="0.000"/>
  </numFmts>
  <fonts count="48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i/>
      <sz val="11"/>
      <color rgb="FF000000"/>
      <name val="Calibri"/>
    </font>
    <font>
      <b/>
      <i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0"/>
      <color theme="1"/>
      <name val="Calibri"/>
    </font>
    <font>
      <sz val="11"/>
      <name val="Calibri"/>
    </font>
    <font>
      <b/>
      <i/>
      <sz val="11"/>
      <color theme="1"/>
      <name val="Calibri"/>
    </font>
    <font>
      <sz val="11"/>
      <color rgb="FF003366"/>
      <name val="Calibri"/>
    </font>
    <font>
      <sz val="11"/>
      <color rgb="FF000000"/>
      <name val="Arial"/>
    </font>
    <font>
      <b/>
      <sz val="11"/>
      <color rgb="FF003366"/>
      <name val="Calibri"/>
    </font>
    <font>
      <sz val="11"/>
      <color rgb="FF00CCFF"/>
      <name val="Calibri"/>
    </font>
    <font>
      <sz val="11"/>
      <color theme="1"/>
      <name val="Calibri"/>
      <scheme val="minor"/>
    </font>
    <font>
      <sz val="10"/>
      <color rgb="FF3366FF"/>
      <name val="Arial"/>
    </font>
    <font>
      <sz val="11"/>
      <color rgb="FF0070C0"/>
      <name val="Calibri"/>
    </font>
    <font>
      <i/>
      <sz val="11"/>
      <color theme="1"/>
      <name val="Calibri"/>
    </font>
    <font>
      <b/>
      <sz val="10"/>
      <color rgb="FF000000"/>
      <name val="Calibri"/>
    </font>
    <font>
      <sz val="10"/>
      <color rgb="FF000000"/>
      <name val="Calibri"/>
    </font>
    <font>
      <sz val="10"/>
      <color rgb="FF003366"/>
      <name val="Calibri"/>
    </font>
    <font>
      <b/>
      <sz val="10"/>
      <color rgb="FFFF0000"/>
      <name val="Calibri"/>
    </font>
    <font>
      <sz val="10"/>
      <color rgb="FF1F497D"/>
      <name val="Calibri"/>
    </font>
    <font>
      <b/>
      <sz val="10"/>
      <color rgb="FF003366"/>
      <name val="Calibri"/>
    </font>
    <font>
      <i/>
      <sz val="10"/>
      <color rgb="FF000000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3F3F3F"/>
      <name val="Calibri"/>
    </font>
    <font>
      <sz val="10"/>
      <color rgb="FF3F3F3F"/>
      <name val="Calibri"/>
    </font>
    <font>
      <b/>
      <i/>
      <sz val="8"/>
      <color rgb="FF3F3F3F"/>
      <name val="Calibri"/>
    </font>
    <font>
      <b/>
      <sz val="11"/>
      <color rgb="FF3F3F3F"/>
      <name val="Calibri"/>
    </font>
    <font>
      <sz val="10"/>
      <color rgb="FFFF0000"/>
      <name val="Calibri"/>
    </font>
    <font>
      <i/>
      <sz val="10"/>
      <color theme="1"/>
      <name val="Calibri"/>
    </font>
    <font>
      <b/>
      <i/>
      <sz val="10"/>
      <color rgb="FF3F3F3F"/>
      <name val="Calibri"/>
    </font>
    <font>
      <sz val="10"/>
      <color rgb="FF000000"/>
      <name val="Calibri"/>
      <family val="2"/>
    </font>
    <font>
      <sz val="11"/>
      <color rgb="FF003366"/>
      <name val="Calibri"/>
      <family val="2"/>
    </font>
    <font>
      <u/>
      <sz val="11"/>
      <color theme="10"/>
      <name val="Calibri"/>
      <scheme val="minor"/>
    </font>
    <font>
      <sz val="11"/>
      <color rgb="FF000000"/>
      <name val="Calibri"/>
      <scheme val="minor"/>
    </font>
    <font>
      <sz val="8"/>
      <name val="Calibri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9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6D9F0"/>
        <bgColor rgb="FFC6D9F0"/>
      </patternFill>
    </fill>
    <fill>
      <patternFill patternType="solid">
        <fgColor rgb="FFCCFFFF"/>
        <bgColor rgb="FFCCFFFF"/>
      </patternFill>
    </fill>
    <fill>
      <patternFill patternType="solid">
        <fgColor rgb="FFFFC000"/>
        <bgColor rgb="FFFFC000"/>
      </patternFill>
    </fill>
    <fill>
      <patternFill patternType="solid">
        <fgColor rgb="FFBCE6F9"/>
        <bgColor rgb="FFBCE6F9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000000"/>
      </left>
      <right style="medium">
        <color indexed="64"/>
      </right>
      <top/>
      <bottom style="double">
        <color indexed="64"/>
      </bottom>
      <diagonal/>
    </border>
  </borders>
  <cellStyleXfs count="5">
    <xf numFmtId="0" fontId="0" fillId="0" borderId="0"/>
    <xf numFmtId="0" fontId="36" fillId="0" borderId="0" applyNumberFormat="0" applyFill="0" applyBorder="0" applyAlignment="0" applyProtection="0"/>
    <xf numFmtId="44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</cellStyleXfs>
  <cellXfs count="381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65" fontId="3" fillId="0" borderId="0" xfId="0" applyNumberFormat="1" applyFont="1"/>
    <xf numFmtId="165" fontId="2" fillId="0" borderId="0" xfId="0" applyNumberFormat="1" applyFont="1"/>
    <xf numFmtId="0" fontId="1" fillId="0" borderId="1" xfId="0" applyFont="1" applyBorder="1"/>
    <xf numFmtId="0" fontId="2" fillId="0" borderId="1" xfId="0" applyFont="1" applyBorder="1"/>
    <xf numFmtId="164" fontId="2" fillId="0" borderId="1" xfId="0" applyNumberFormat="1" applyFont="1" applyBorder="1"/>
    <xf numFmtId="165" fontId="3" fillId="0" borderId="1" xfId="0" applyNumberFormat="1" applyFont="1" applyBorder="1"/>
    <xf numFmtId="165" fontId="2" fillId="0" borderId="1" xfId="0" applyNumberFormat="1" applyFont="1" applyBorder="1"/>
    <xf numFmtId="0" fontId="1" fillId="0" borderId="0" xfId="0" applyFont="1" applyAlignment="1">
      <alignment wrapText="1"/>
    </xf>
    <xf numFmtId="0" fontId="1" fillId="0" borderId="2" xfId="0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5" fontId="4" fillId="0" borderId="0" xfId="0" applyNumberFormat="1" applyFont="1"/>
    <xf numFmtId="165" fontId="1" fillId="0" borderId="0" xfId="0" applyNumberFormat="1" applyFont="1"/>
    <xf numFmtId="0" fontId="5" fillId="0" borderId="0" xfId="0" applyFont="1"/>
    <xf numFmtId="0" fontId="6" fillId="0" borderId="0" xfId="0" applyFont="1"/>
    <xf numFmtId="164" fontId="2" fillId="0" borderId="3" xfId="0" applyNumberFormat="1" applyFont="1" applyBorder="1"/>
    <xf numFmtId="164" fontId="2" fillId="0" borderId="4" xfId="0" applyNumberFormat="1" applyFont="1" applyBorder="1"/>
    <xf numFmtId="0" fontId="7" fillId="0" borderId="0" xfId="0" applyFont="1"/>
    <xf numFmtId="0" fontId="2" fillId="0" borderId="0" xfId="0" applyFont="1" applyAlignment="1">
      <alignment horizontal="left"/>
    </xf>
    <xf numFmtId="165" fontId="3" fillId="0" borderId="3" xfId="0" applyNumberFormat="1" applyFont="1" applyBorder="1"/>
    <xf numFmtId="166" fontId="5" fillId="0" borderId="0" xfId="0" applyNumberFormat="1" applyFont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66" fontId="6" fillId="0" borderId="0" xfId="0" applyNumberFormat="1" applyFont="1"/>
    <xf numFmtId="0" fontId="1" fillId="0" borderId="0" xfId="0" applyFont="1" applyAlignment="1">
      <alignment horizontal="left"/>
    </xf>
    <xf numFmtId="165" fontId="3" fillId="0" borderId="4" xfId="0" applyNumberFormat="1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6" xfId="0" applyFont="1" applyBorder="1" applyAlignment="1">
      <alignment horizontal="center"/>
    </xf>
    <xf numFmtId="0" fontId="2" fillId="0" borderId="7" xfId="0" applyFont="1" applyBorder="1"/>
    <xf numFmtId="16" fontId="1" fillId="0" borderId="8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64" fontId="1" fillId="0" borderId="0" xfId="0" applyNumberFormat="1" applyFont="1"/>
    <xf numFmtId="164" fontId="10" fillId="0" borderId="0" xfId="0" applyNumberFormat="1" applyFont="1"/>
    <xf numFmtId="164" fontId="6" fillId="0" borderId="0" xfId="0" applyNumberFormat="1" applyFont="1"/>
    <xf numFmtId="0" fontId="11" fillId="0" borderId="0" xfId="0" applyFont="1"/>
    <xf numFmtId="164" fontId="1" fillId="0" borderId="3" xfId="0" applyNumberFormat="1" applyFont="1" applyBorder="1"/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4" fontId="1" fillId="0" borderId="4" xfId="0" applyNumberFormat="1" applyFont="1" applyBorder="1"/>
    <xf numFmtId="0" fontId="12" fillId="0" borderId="0" xfId="0" applyFont="1"/>
    <xf numFmtId="0" fontId="2" fillId="0" borderId="9" xfId="0" applyFont="1" applyBorder="1"/>
    <xf numFmtId="164" fontId="12" fillId="0" borderId="3" xfId="0" applyNumberFormat="1" applyFont="1" applyBorder="1"/>
    <xf numFmtId="0" fontId="2" fillId="0" borderId="3" xfId="0" applyFont="1" applyBorder="1"/>
    <xf numFmtId="0" fontId="2" fillId="0" borderId="10" xfId="0" applyFont="1" applyBorder="1"/>
    <xf numFmtId="164" fontId="12" fillId="0" borderId="6" xfId="0" applyNumberFormat="1" applyFont="1" applyBorder="1"/>
    <xf numFmtId="164" fontId="12" fillId="0" borderId="0" xfId="0" applyNumberFormat="1" applyFont="1"/>
    <xf numFmtId="164" fontId="13" fillId="0" borderId="0" xfId="0" applyNumberFormat="1" applyFont="1"/>
    <xf numFmtId="164" fontId="10" fillId="0" borderId="3" xfId="0" applyNumberFormat="1" applyFont="1" applyBorder="1"/>
    <xf numFmtId="0" fontId="2" fillId="0" borderId="11" xfId="0" applyFont="1" applyBorder="1"/>
    <xf numFmtId="0" fontId="2" fillId="0" borderId="12" xfId="0" applyFont="1" applyBorder="1"/>
    <xf numFmtId="10" fontId="10" fillId="0" borderId="6" xfId="0" applyNumberFormat="1" applyFont="1" applyBorder="1"/>
    <xf numFmtId="10" fontId="10" fillId="0" borderId="0" xfId="0" applyNumberFormat="1" applyFont="1"/>
    <xf numFmtId="0" fontId="10" fillId="0" borderId="3" xfId="0" applyFont="1" applyBorder="1"/>
    <xf numFmtId="44" fontId="10" fillId="0" borderId="0" xfId="0" applyNumberFormat="1" applyFont="1"/>
    <xf numFmtId="9" fontId="10" fillId="0" borderId="0" xfId="0" applyNumberFormat="1" applyFont="1"/>
    <xf numFmtId="9" fontId="2" fillId="0" borderId="13" xfId="0" applyNumberFormat="1" applyFont="1" applyBorder="1"/>
    <xf numFmtId="0" fontId="2" fillId="0" borderId="8" xfId="0" applyFont="1" applyBorder="1" applyAlignment="1">
      <alignment horizontal="center"/>
    </xf>
    <xf numFmtId="0" fontId="3" fillId="0" borderId="0" xfId="0" applyFont="1"/>
    <xf numFmtId="44" fontId="2" fillId="0" borderId="0" xfId="0" applyNumberFormat="1" applyFont="1"/>
    <xf numFmtId="0" fontId="2" fillId="2" borderId="16" xfId="0" applyFont="1" applyFill="1" applyBorder="1"/>
    <xf numFmtId="0" fontId="14" fillId="0" borderId="0" xfId="0" applyFont="1"/>
    <xf numFmtId="0" fontId="6" fillId="0" borderId="12" xfId="0" applyFont="1" applyBorder="1" applyAlignment="1">
      <alignment horizontal="left"/>
    </xf>
    <xf numFmtId="44" fontId="10" fillId="0" borderId="5" xfId="0" applyNumberFormat="1" applyFont="1" applyBorder="1"/>
    <xf numFmtId="0" fontId="6" fillId="0" borderId="7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15" fillId="0" borderId="0" xfId="0" applyFont="1"/>
    <xf numFmtId="0" fontId="1" fillId="0" borderId="7" xfId="0" applyFont="1" applyBorder="1"/>
    <xf numFmtId="164" fontId="10" fillId="0" borderId="6" xfId="0" applyNumberFormat="1" applyFont="1" applyBorder="1"/>
    <xf numFmtId="164" fontId="1" fillId="0" borderId="6" xfId="0" applyNumberFormat="1" applyFont="1" applyBorder="1"/>
    <xf numFmtId="0" fontId="4" fillId="0" borderId="0" xfId="0" applyFont="1"/>
    <xf numFmtId="43" fontId="2" fillId="3" borderId="16" xfId="0" applyNumberFormat="1" applyFont="1" applyFill="1" applyBorder="1"/>
    <xf numFmtId="43" fontId="2" fillId="0" borderId="0" xfId="0" applyNumberFormat="1" applyFont="1"/>
    <xf numFmtId="43" fontId="1" fillId="0" borderId="0" xfId="0" applyNumberFormat="1" applyFont="1"/>
    <xf numFmtId="9" fontId="16" fillId="0" borderId="0" xfId="0" applyNumberFormat="1" applyFont="1"/>
    <xf numFmtId="43" fontId="6" fillId="0" borderId="0" xfId="0" applyNumberFormat="1" applyFont="1"/>
    <xf numFmtId="43" fontId="10" fillId="0" borderId="0" xfId="0" applyNumberFormat="1" applyFont="1"/>
    <xf numFmtId="0" fontId="17" fillId="0" borderId="0" xfId="0" applyFont="1"/>
    <xf numFmtId="9" fontId="17" fillId="0" borderId="0" xfId="0" applyNumberFormat="1" applyFont="1"/>
    <xf numFmtId="43" fontId="17" fillId="0" borderId="3" xfId="0" applyNumberFormat="1" applyFont="1" applyBorder="1"/>
    <xf numFmtId="43" fontId="9" fillId="0" borderId="3" xfId="0" applyNumberFormat="1" applyFont="1" applyBorder="1"/>
    <xf numFmtId="9" fontId="6" fillId="0" borderId="0" xfId="0" applyNumberFormat="1" applyFont="1"/>
    <xf numFmtId="43" fontId="5" fillId="0" borderId="0" xfId="0" applyNumberFormat="1" applyFont="1"/>
    <xf numFmtId="43" fontId="2" fillId="4" borderId="16" xfId="0" applyNumberFormat="1" applyFont="1" applyFill="1" applyBorder="1"/>
    <xf numFmtId="44" fontId="2" fillId="0" borderId="3" xfId="0" applyNumberFormat="1" applyFont="1" applyBorder="1"/>
    <xf numFmtId="43" fontId="2" fillId="0" borderId="3" xfId="0" applyNumberFormat="1" applyFont="1" applyBorder="1"/>
    <xf numFmtId="0" fontId="18" fillId="0" borderId="0" xfId="0" applyFont="1"/>
    <xf numFmtId="0" fontId="19" fillId="0" borderId="0" xfId="0" applyFont="1"/>
    <xf numFmtId="0" fontId="18" fillId="0" borderId="1" xfId="0" applyFont="1" applyBorder="1"/>
    <xf numFmtId="0" fontId="19" fillId="0" borderId="1" xfId="0" applyFont="1" applyBorder="1"/>
    <xf numFmtId="0" fontId="18" fillId="0" borderId="0" xfId="0" applyFont="1" applyAlignment="1">
      <alignment wrapText="1"/>
    </xf>
    <xf numFmtId="0" fontId="19" fillId="0" borderId="5" xfId="0" applyFont="1" applyBorder="1"/>
    <xf numFmtId="0" fontId="19" fillId="0" borderId="6" xfId="0" applyFont="1" applyBorder="1"/>
    <xf numFmtId="0" fontId="18" fillId="0" borderId="6" xfId="0" applyFont="1" applyBorder="1" applyAlignment="1">
      <alignment horizontal="center"/>
    </xf>
    <xf numFmtId="0" fontId="19" fillId="0" borderId="7" xfId="0" applyFont="1" applyBorder="1"/>
    <xf numFmtId="16" fontId="18" fillId="0" borderId="8" xfId="0" applyNumberFormat="1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164" fontId="19" fillId="0" borderId="0" xfId="0" applyNumberFormat="1" applyFont="1"/>
    <xf numFmtId="164" fontId="18" fillId="0" borderId="0" xfId="0" applyNumberFormat="1" applyFont="1"/>
    <xf numFmtId="9" fontId="18" fillId="0" borderId="0" xfId="0" applyNumberFormat="1" applyFont="1"/>
    <xf numFmtId="44" fontId="20" fillId="0" borderId="0" xfId="0" applyNumberFormat="1" applyFont="1"/>
    <xf numFmtId="9" fontId="21" fillId="0" borderId="0" xfId="0" applyNumberFormat="1" applyFont="1"/>
    <xf numFmtId="164" fontId="22" fillId="0" borderId="0" xfId="0" applyNumberFormat="1" applyFont="1"/>
    <xf numFmtId="9" fontId="23" fillId="0" borderId="0" xfId="0" applyNumberFormat="1" applyFont="1"/>
    <xf numFmtId="0" fontId="24" fillId="0" borderId="0" xfId="0" applyFont="1"/>
    <xf numFmtId="164" fontId="19" fillId="0" borderId="3" xfId="0" applyNumberFormat="1" applyFont="1" applyBorder="1"/>
    <xf numFmtId="164" fontId="18" fillId="0" borderId="3" xfId="0" applyNumberFormat="1" applyFont="1" applyBorder="1"/>
    <xf numFmtId="167" fontId="19" fillId="0" borderId="0" xfId="0" applyNumberFormat="1" applyFont="1"/>
    <xf numFmtId="9" fontId="19" fillId="0" borderId="0" xfId="0" applyNumberFormat="1" applyFont="1"/>
    <xf numFmtId="0" fontId="3" fillId="0" borderId="1" xfId="0" applyFont="1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44" fontId="19" fillId="0" borderId="0" xfId="0" applyNumberFormat="1" applyFont="1" applyAlignment="1">
      <alignment vertical="top"/>
    </xf>
    <xf numFmtId="0" fontId="1" fillId="0" borderId="17" xfId="0" applyFont="1" applyBorder="1" applyAlignment="1">
      <alignment horizontal="center" wrapText="1"/>
    </xf>
    <xf numFmtId="0" fontId="1" fillId="0" borderId="17" xfId="0" applyFont="1" applyBorder="1" applyAlignment="1">
      <alignment horizontal="center"/>
    </xf>
    <xf numFmtId="164" fontId="1" fillId="0" borderId="1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10" fillId="4" borderId="18" xfId="0" applyFont="1" applyFill="1" applyBorder="1"/>
    <xf numFmtId="0" fontId="2" fillId="4" borderId="16" xfId="0" applyFont="1" applyFill="1" applyBorder="1"/>
    <xf numFmtId="164" fontId="2" fillId="4" borderId="18" xfId="0" applyNumberFormat="1" applyFont="1" applyFill="1" applyBorder="1"/>
    <xf numFmtId="168" fontId="2" fillId="4" borderId="18" xfId="0" applyNumberFormat="1" applyFont="1" applyFill="1" applyBorder="1"/>
    <xf numFmtId="0" fontId="1" fillId="0" borderId="19" xfId="0" applyFont="1" applyBorder="1" applyAlignment="1">
      <alignment horizontal="center"/>
    </xf>
    <xf numFmtId="164" fontId="10" fillId="4" borderId="20" xfId="0" applyNumberFormat="1" applyFont="1" applyFill="1" applyBorder="1"/>
    <xf numFmtId="164" fontId="2" fillId="0" borderId="19" xfId="0" applyNumberFormat="1" applyFont="1" applyBorder="1"/>
    <xf numFmtId="0" fontId="10" fillId="4" borderId="20" xfId="0" applyFont="1" applyFill="1" applyBorder="1"/>
    <xf numFmtId="0" fontId="2" fillId="4" borderId="20" xfId="0" applyFont="1" applyFill="1" applyBorder="1" applyAlignment="1">
      <alignment wrapText="1"/>
    </xf>
    <xf numFmtId="164" fontId="2" fillId="4" borderId="20" xfId="0" applyNumberFormat="1" applyFont="1" applyFill="1" applyBorder="1"/>
    <xf numFmtId="168" fontId="2" fillId="4" borderId="20" xfId="0" applyNumberFormat="1" applyFont="1" applyFill="1" applyBorder="1"/>
    <xf numFmtId="0" fontId="10" fillId="4" borderId="22" xfId="0" applyFont="1" applyFill="1" applyBorder="1"/>
    <xf numFmtId="0" fontId="2" fillId="4" borderId="22" xfId="0" applyFont="1" applyFill="1" applyBorder="1" applyAlignment="1">
      <alignment wrapText="1"/>
    </xf>
    <xf numFmtId="164" fontId="2" fillId="4" borderId="22" xfId="0" applyNumberFormat="1" applyFont="1" applyFill="1" applyBorder="1"/>
    <xf numFmtId="168" fontId="2" fillId="4" borderId="22" xfId="0" applyNumberFormat="1" applyFont="1" applyFill="1" applyBorder="1"/>
    <xf numFmtId="164" fontId="10" fillId="4" borderId="22" xfId="0" applyNumberFormat="1" applyFont="1" applyFill="1" applyBorder="1"/>
    <xf numFmtId="164" fontId="2" fillId="0" borderId="17" xfId="0" applyNumberFormat="1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23" xfId="0" applyFont="1" applyBorder="1"/>
    <xf numFmtId="164" fontId="2" fillId="0" borderId="8" xfId="0" applyNumberFormat="1" applyFont="1" applyBorder="1"/>
    <xf numFmtId="169" fontId="2" fillId="0" borderId="0" xfId="0" applyNumberFormat="1" applyFont="1"/>
    <xf numFmtId="169" fontId="1" fillId="0" borderId="3" xfId="0" applyNumberFormat="1" applyFont="1" applyBorder="1"/>
    <xf numFmtId="9" fontId="2" fillId="0" borderId="0" xfId="0" applyNumberFormat="1" applyFont="1"/>
    <xf numFmtId="0" fontId="2" fillId="5" borderId="16" xfId="0" applyFont="1" applyFill="1" applyBorder="1"/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12" fillId="0" borderId="0" xfId="0" applyNumberFormat="1" applyFont="1"/>
    <xf numFmtId="0" fontId="2" fillId="0" borderId="24" xfId="0" applyFont="1" applyBorder="1" applyAlignment="1">
      <alignment horizontal="center"/>
    </xf>
    <xf numFmtId="0" fontId="2" fillId="0" borderId="17" xfId="0" applyFont="1" applyBorder="1"/>
    <xf numFmtId="0" fontId="2" fillId="0" borderId="24" xfId="0" applyFont="1" applyBorder="1"/>
    <xf numFmtId="164" fontId="2" fillId="0" borderId="24" xfId="0" applyNumberFormat="1" applyFont="1" applyBorder="1"/>
    <xf numFmtId="165" fontId="3" fillId="0" borderId="24" xfId="0" applyNumberFormat="1" applyFont="1" applyBorder="1"/>
    <xf numFmtId="0" fontId="2" fillId="0" borderId="19" xfId="0" applyFont="1" applyBorder="1"/>
    <xf numFmtId="165" fontId="3" fillId="0" borderId="19" xfId="0" applyNumberFormat="1" applyFont="1" applyBorder="1"/>
    <xf numFmtId="165" fontId="2" fillId="0" borderId="17" xfId="0" applyNumberFormat="1" applyFont="1" applyBorder="1"/>
    <xf numFmtId="0" fontId="1" fillId="0" borderId="14" xfId="0" applyFont="1" applyBorder="1"/>
    <xf numFmtId="0" fontId="1" fillId="0" borderId="23" xfId="0" applyFont="1" applyBorder="1"/>
    <xf numFmtId="44" fontId="2" fillId="0" borderId="10" xfId="0" applyNumberFormat="1" applyFont="1" applyBorder="1"/>
    <xf numFmtId="44" fontId="2" fillId="0" borderId="23" xfId="0" applyNumberFormat="1" applyFont="1" applyBorder="1"/>
    <xf numFmtId="0" fontId="25" fillId="0" borderId="0" xfId="0" applyFont="1"/>
    <xf numFmtId="164" fontId="25" fillId="0" borderId="0" xfId="0" applyNumberFormat="1" applyFont="1"/>
    <xf numFmtId="8" fontId="25" fillId="0" borderId="0" xfId="0" applyNumberFormat="1" applyFont="1"/>
    <xf numFmtId="43" fontId="25" fillId="0" borderId="0" xfId="0" applyNumberFormat="1" applyFont="1"/>
    <xf numFmtId="170" fontId="25" fillId="0" borderId="0" xfId="0" applyNumberFormat="1" applyFont="1"/>
    <xf numFmtId="0" fontId="26" fillId="0" borderId="0" xfId="0" applyFont="1" applyAlignment="1">
      <alignment horizontal="center"/>
    </xf>
    <xf numFmtId="17" fontId="25" fillId="0" borderId="0" xfId="0" applyNumberFormat="1" applyFont="1"/>
    <xf numFmtId="0" fontId="2" fillId="0" borderId="0" xfId="0" applyFont="1" applyAlignment="1">
      <alignment horizontal="center"/>
    </xf>
    <xf numFmtId="171" fontId="2" fillId="0" borderId="0" xfId="0" applyNumberFormat="1" applyFont="1"/>
    <xf numFmtId="0" fontId="27" fillId="0" borderId="0" xfId="0" applyFont="1" applyAlignment="1">
      <alignment vertical="center"/>
    </xf>
    <xf numFmtId="44" fontId="28" fillId="0" borderId="0" xfId="0" applyNumberFormat="1" applyFont="1" applyAlignment="1">
      <alignment vertical="center" wrapText="1"/>
    </xf>
    <xf numFmtId="0" fontId="28" fillId="0" borderId="0" xfId="0" applyFont="1" applyAlignment="1">
      <alignment vertical="center" wrapText="1"/>
    </xf>
    <xf numFmtId="172" fontId="28" fillId="0" borderId="0" xfId="0" applyNumberFormat="1" applyFont="1" applyAlignment="1">
      <alignment vertical="center" wrapText="1"/>
    </xf>
    <xf numFmtId="1" fontId="28" fillId="0" borderId="0" xfId="0" applyNumberFormat="1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44" fontId="27" fillId="0" borderId="0" xfId="0" applyNumberFormat="1" applyFont="1" applyAlignment="1">
      <alignment horizontal="center" vertical="center" wrapText="1"/>
    </xf>
    <xf numFmtId="0" fontId="27" fillId="0" borderId="0" xfId="0" applyFont="1" applyAlignment="1">
      <alignment vertical="center" wrapText="1"/>
    </xf>
    <xf numFmtId="1" fontId="27" fillId="0" borderId="0" xfId="0" applyNumberFormat="1" applyFont="1" applyAlignment="1">
      <alignment horizontal="center" vertical="center" wrapText="1"/>
    </xf>
    <xf numFmtId="172" fontId="27" fillId="0" borderId="0" xfId="0" applyNumberFormat="1" applyFont="1" applyAlignment="1">
      <alignment vertical="center" wrapText="1"/>
    </xf>
    <xf numFmtId="44" fontId="27" fillId="0" borderId="0" xfId="0" applyNumberFormat="1" applyFont="1" applyAlignment="1">
      <alignment vertical="center" wrapText="1"/>
    </xf>
    <xf numFmtId="44" fontId="28" fillId="0" borderId="0" xfId="0" applyNumberFormat="1" applyFont="1" applyAlignment="1">
      <alignment vertical="center"/>
    </xf>
    <xf numFmtId="173" fontId="28" fillId="0" borderId="0" xfId="0" applyNumberFormat="1" applyFont="1" applyAlignment="1">
      <alignment vertical="center"/>
    </xf>
    <xf numFmtId="1" fontId="28" fillId="0" borderId="0" xfId="0" applyNumberFormat="1" applyFont="1" applyAlignment="1">
      <alignment horizontal="center" vertical="center"/>
    </xf>
    <xf numFmtId="172" fontId="28" fillId="0" borderId="0" xfId="0" applyNumberFormat="1" applyFont="1" applyAlignment="1">
      <alignment vertical="center"/>
    </xf>
    <xf numFmtId="9" fontId="28" fillId="0" borderId="0" xfId="0" applyNumberFormat="1" applyFont="1" applyAlignment="1">
      <alignment horizontal="center" vertical="center"/>
    </xf>
    <xf numFmtId="165" fontId="28" fillId="0" borderId="0" xfId="0" applyNumberFormat="1" applyFont="1" applyAlignment="1">
      <alignment vertical="center"/>
    </xf>
    <xf numFmtId="1" fontId="28" fillId="0" borderId="0" xfId="0" applyNumberFormat="1" applyFont="1" applyAlignment="1">
      <alignment vertical="center"/>
    </xf>
    <xf numFmtId="174" fontId="28" fillId="0" borderId="0" xfId="0" applyNumberFormat="1" applyFont="1" applyAlignment="1">
      <alignment vertical="center"/>
    </xf>
    <xf numFmtId="174" fontId="28" fillId="6" borderId="16" xfId="0" applyNumberFormat="1" applyFont="1" applyFill="1" applyBorder="1" applyAlignment="1">
      <alignment vertical="center"/>
    </xf>
    <xf numFmtId="0" fontId="29" fillId="2" borderId="16" xfId="0" applyFont="1" applyFill="1" applyBorder="1" applyAlignment="1">
      <alignment vertical="center"/>
    </xf>
    <xf numFmtId="0" fontId="28" fillId="0" borderId="0" xfId="0" applyFont="1" applyAlignment="1">
      <alignment horizontal="right" vertical="center"/>
    </xf>
    <xf numFmtId="0" fontId="30" fillId="0" borderId="0" xfId="0" applyFont="1" applyAlignment="1">
      <alignment horizontal="center"/>
    </xf>
    <xf numFmtId="44" fontId="27" fillId="0" borderId="0" xfId="0" applyNumberFormat="1" applyFont="1" applyAlignment="1">
      <alignment horizontal="center" wrapText="1"/>
    </xf>
    <xf numFmtId="0" fontId="27" fillId="2" borderId="16" xfId="0" applyFont="1" applyFill="1" applyBorder="1" applyAlignment="1">
      <alignment horizontal="center" wrapText="1"/>
    </xf>
    <xf numFmtId="172" fontId="27" fillId="0" borderId="0" xfId="0" applyNumberFormat="1" applyFont="1" applyAlignment="1">
      <alignment horizontal="center" wrapText="1"/>
    </xf>
    <xf numFmtId="0" fontId="27" fillId="0" borderId="0" xfId="0" applyFont="1" applyAlignment="1">
      <alignment horizontal="center" wrapText="1"/>
    </xf>
    <xf numFmtId="1" fontId="27" fillId="7" borderId="16" xfId="0" applyNumberFormat="1" applyFont="1" applyFill="1" applyBorder="1" applyAlignment="1">
      <alignment horizontal="center" wrapText="1"/>
    </xf>
    <xf numFmtId="44" fontId="27" fillId="8" borderId="16" xfId="0" applyNumberFormat="1" applyFont="1" applyFill="1" applyBorder="1" applyAlignment="1">
      <alignment horizontal="center" wrapText="1"/>
    </xf>
    <xf numFmtId="44" fontId="27" fillId="7" borderId="16" xfId="0" applyNumberFormat="1" applyFont="1" applyFill="1" applyBorder="1" applyAlignment="1">
      <alignment horizontal="center" wrapText="1"/>
    </xf>
    <xf numFmtId="0" fontId="27" fillId="7" borderId="16" xfId="0" applyFont="1" applyFill="1" applyBorder="1" applyAlignment="1">
      <alignment horizontal="center" wrapText="1"/>
    </xf>
    <xf numFmtId="0" fontId="27" fillId="8" borderId="16" xfId="0" applyFont="1" applyFill="1" applyBorder="1" applyAlignment="1">
      <alignment horizontal="center" wrapText="1"/>
    </xf>
    <xf numFmtId="0" fontId="28" fillId="0" borderId="0" xfId="0" applyFont="1" applyAlignment="1">
      <alignment horizontal="center" vertical="center"/>
    </xf>
    <xf numFmtId="9" fontId="28" fillId="0" borderId="0" xfId="0" applyNumberFormat="1" applyFont="1" applyAlignment="1">
      <alignment horizontal="right" vertical="center"/>
    </xf>
    <xf numFmtId="174" fontId="28" fillId="0" borderId="0" xfId="0" applyNumberFormat="1" applyFont="1" applyAlignment="1">
      <alignment horizontal="center" vertical="center"/>
    </xf>
    <xf numFmtId="174" fontId="31" fillId="0" borderId="0" xfId="0" applyNumberFormat="1" applyFont="1" applyAlignment="1">
      <alignment vertical="center"/>
    </xf>
    <xf numFmtId="44" fontId="27" fillId="0" borderId="0" xfId="0" applyNumberFormat="1" applyFont="1" applyAlignment="1">
      <alignment vertical="center"/>
    </xf>
    <xf numFmtId="169" fontId="27" fillId="0" borderId="0" xfId="0" applyNumberFormat="1" applyFont="1" applyAlignment="1">
      <alignment vertical="center"/>
    </xf>
    <xf numFmtId="0" fontId="27" fillId="0" borderId="0" xfId="0" applyFont="1" applyAlignment="1">
      <alignment horizontal="center" vertical="center"/>
    </xf>
    <xf numFmtId="174" fontId="27" fillId="0" borderId="0" xfId="0" applyNumberFormat="1" applyFont="1" applyAlignment="1">
      <alignment vertical="center"/>
    </xf>
    <xf numFmtId="164" fontId="27" fillId="0" borderId="0" xfId="0" applyNumberFormat="1" applyFont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0" borderId="0" xfId="0" applyFont="1" applyAlignment="1">
      <alignment horizontal="center" vertical="center" wrapText="1"/>
    </xf>
    <xf numFmtId="2" fontId="28" fillId="0" borderId="0" xfId="0" applyNumberFormat="1" applyFont="1" applyAlignment="1">
      <alignment vertical="center"/>
    </xf>
    <xf numFmtId="9" fontId="27" fillId="0" borderId="0" xfId="0" applyNumberFormat="1" applyFont="1" applyAlignment="1">
      <alignment vertical="center"/>
    </xf>
    <xf numFmtId="2" fontId="27" fillId="0" borderId="0" xfId="0" applyNumberFormat="1" applyFont="1" applyAlignment="1">
      <alignment vertical="center"/>
    </xf>
    <xf numFmtId="0" fontId="5" fillId="0" borderId="6" xfId="0" applyFont="1" applyBorder="1"/>
    <xf numFmtId="43" fontId="5" fillId="0" borderId="6" xfId="0" applyNumberFormat="1" applyFont="1" applyBorder="1" applyAlignment="1">
      <alignment horizontal="right"/>
    </xf>
    <xf numFmtId="43" fontId="5" fillId="2" borderId="25" xfId="0" applyNumberFormat="1" applyFont="1" applyFill="1" applyBorder="1" applyAlignment="1">
      <alignment horizontal="right"/>
    </xf>
    <xf numFmtId="0" fontId="6" fillId="0" borderId="8" xfId="0" applyFont="1" applyBorder="1"/>
    <xf numFmtId="0" fontId="5" fillId="0" borderId="8" xfId="0" applyFont="1" applyBorder="1"/>
    <xf numFmtId="173" fontId="28" fillId="0" borderId="8" xfId="0" applyNumberFormat="1" applyFont="1" applyBorder="1"/>
    <xf numFmtId="1" fontId="6" fillId="2" borderId="8" xfId="0" applyNumberFormat="1" applyFont="1" applyFill="1" applyBorder="1"/>
    <xf numFmtId="0" fontId="32" fillId="0" borderId="0" xfId="0" applyFont="1"/>
    <xf numFmtId="175" fontId="6" fillId="0" borderId="8" xfId="0" applyNumberFormat="1" applyFont="1" applyBorder="1"/>
    <xf numFmtId="176" fontId="6" fillId="0" borderId="8" xfId="0" applyNumberFormat="1" applyFont="1" applyBorder="1"/>
    <xf numFmtId="44" fontId="5" fillId="0" borderId="8" xfId="0" applyNumberFormat="1" applyFont="1" applyBorder="1"/>
    <xf numFmtId="173" fontId="5" fillId="0" borderId="8" xfId="0" applyNumberFormat="1" applyFont="1" applyBorder="1"/>
    <xf numFmtId="173" fontId="5" fillId="2" borderId="8" xfId="0" applyNumberFormat="1" applyFont="1" applyFill="1" applyBorder="1"/>
    <xf numFmtId="43" fontId="5" fillId="0" borderId="8" xfId="0" applyNumberFormat="1" applyFont="1" applyBorder="1" applyAlignment="1">
      <alignment horizontal="right"/>
    </xf>
    <xf numFmtId="44" fontId="28" fillId="0" borderId="8" xfId="0" applyNumberFormat="1" applyFont="1" applyBorder="1"/>
    <xf numFmtId="0" fontId="6" fillId="0" borderId="8" xfId="0" applyFont="1" applyBorder="1" applyAlignment="1">
      <alignment horizontal="center"/>
    </xf>
    <xf numFmtId="44" fontId="28" fillId="0" borderId="0" xfId="0" applyNumberFormat="1" applyFont="1"/>
    <xf numFmtId="0" fontId="6" fillId="0" borderId="6" xfId="0" applyFont="1" applyBorder="1"/>
    <xf numFmtId="14" fontId="6" fillId="0" borderId="0" xfId="0" applyNumberFormat="1" applyFont="1" applyAlignment="1">
      <alignment horizontal="left"/>
    </xf>
    <xf numFmtId="169" fontId="28" fillId="2" borderId="16" xfId="0" applyNumberFormat="1" applyFont="1" applyFill="1" applyBorder="1"/>
    <xf numFmtId="164" fontId="28" fillId="0" borderId="0" xfId="0" applyNumberFormat="1" applyFont="1"/>
    <xf numFmtId="0" fontId="28" fillId="0" borderId="8" xfId="0" applyFont="1" applyBorder="1" applyAlignment="1">
      <alignment vertical="center"/>
    </xf>
    <xf numFmtId="164" fontId="28" fillId="0" borderId="3" xfId="0" applyNumberFormat="1" applyFont="1" applyBorder="1"/>
    <xf numFmtId="1" fontId="28" fillId="0" borderId="8" xfId="0" applyNumberFormat="1" applyFont="1" applyBorder="1" applyAlignment="1">
      <alignment vertical="center"/>
    </xf>
    <xf numFmtId="165" fontId="28" fillId="0" borderId="8" xfId="0" applyNumberFormat="1" applyFont="1" applyBorder="1" applyAlignment="1">
      <alignment vertical="center"/>
    </xf>
    <xf numFmtId="174" fontId="28" fillId="0" borderId="8" xfId="0" applyNumberFormat="1" applyFont="1" applyBorder="1" applyAlignment="1">
      <alignment vertical="center"/>
    </xf>
    <xf numFmtId="14" fontId="5" fillId="0" borderId="0" xfId="0" applyNumberFormat="1" applyFont="1" applyAlignment="1">
      <alignment horizontal="left"/>
    </xf>
    <xf numFmtId="44" fontId="5" fillId="0" borderId="3" xfId="0" applyNumberFormat="1" applyFont="1" applyBorder="1"/>
    <xf numFmtId="9" fontId="5" fillId="0" borderId="0" xfId="0" applyNumberFormat="1" applyFont="1"/>
    <xf numFmtId="44" fontId="28" fillId="2" borderId="16" xfId="0" applyNumberFormat="1" applyFont="1" applyFill="1" applyBorder="1"/>
    <xf numFmtId="0" fontId="6" fillId="0" borderId="0" xfId="0" quotePrefix="1" applyFont="1" applyAlignment="1">
      <alignment horizontal="left"/>
    </xf>
    <xf numFmtId="0" fontId="27" fillId="0" borderId="8" xfId="0" applyFont="1" applyBorder="1" applyAlignment="1">
      <alignment vertical="center"/>
    </xf>
    <xf numFmtId="9" fontId="28" fillId="0" borderId="8" xfId="0" applyNumberFormat="1" applyFont="1" applyBorder="1" applyAlignment="1">
      <alignment vertical="center"/>
    </xf>
    <xf numFmtId="174" fontId="6" fillId="0" borderId="0" xfId="0" applyNumberFormat="1" applyFont="1"/>
    <xf numFmtId="44" fontId="5" fillId="0" borderId="0" xfId="0" applyNumberFormat="1" applyFont="1"/>
    <xf numFmtId="9" fontId="28" fillId="0" borderId="0" xfId="0" applyNumberFormat="1" applyFont="1"/>
    <xf numFmtId="0" fontId="2" fillId="9" borderId="0" xfId="0" applyFont="1" applyFill="1"/>
    <xf numFmtId="0" fontId="34" fillId="0" borderId="0" xfId="0" applyFont="1"/>
    <xf numFmtId="44" fontId="0" fillId="0" borderId="0" xfId="0" applyNumberFormat="1"/>
    <xf numFmtId="0" fontId="2" fillId="0" borderId="16" xfId="0" applyFont="1" applyBorder="1"/>
    <xf numFmtId="44" fontId="35" fillId="0" borderId="16" xfId="0" applyNumberFormat="1" applyFont="1" applyBorder="1"/>
    <xf numFmtId="44" fontId="5" fillId="9" borderId="8" xfId="0" applyNumberFormat="1" applyFont="1" applyFill="1" applyBorder="1"/>
    <xf numFmtId="0" fontId="1" fillId="0" borderId="14" xfId="0" applyFont="1" applyBorder="1" applyAlignment="1">
      <alignment horizontal="center"/>
    </xf>
    <xf numFmtId="170" fontId="10" fillId="0" borderId="0" xfId="0" applyNumberFormat="1" applyFont="1"/>
    <xf numFmtId="0" fontId="36" fillId="0" borderId="0" xfId="1"/>
    <xf numFmtId="164" fontId="12" fillId="0" borderId="16" xfId="0" applyNumberFormat="1" applyFont="1" applyBorder="1"/>
    <xf numFmtId="0" fontId="0" fillId="0" borderId="16" xfId="0" applyBorder="1"/>
    <xf numFmtId="0" fontId="0" fillId="10" borderId="0" xfId="0" applyFill="1"/>
    <xf numFmtId="9" fontId="0" fillId="10" borderId="0" xfId="0" applyNumberFormat="1" applyFill="1"/>
    <xf numFmtId="2" fontId="0" fillId="0" borderId="0" xfId="0" applyNumberFormat="1"/>
    <xf numFmtId="0" fontId="39" fillId="0" borderId="0" xfId="0" applyFont="1"/>
    <xf numFmtId="44" fontId="0" fillId="0" borderId="0" xfId="2" applyFont="1"/>
    <xf numFmtId="44" fontId="0" fillId="10" borderId="0" xfId="2" applyFont="1" applyFill="1"/>
    <xf numFmtId="1" fontId="0" fillId="0" borderId="0" xfId="0" applyNumberFormat="1"/>
    <xf numFmtId="44" fontId="19" fillId="0" borderId="0" xfId="0" applyNumberFormat="1" applyFont="1"/>
    <xf numFmtId="9" fontId="40" fillId="0" borderId="0" xfId="0" applyNumberFormat="1" applyFont="1"/>
    <xf numFmtId="0" fontId="40" fillId="0" borderId="0" xfId="0" applyFont="1"/>
    <xf numFmtId="9" fontId="41" fillId="0" borderId="0" xfId="3" applyFont="1"/>
    <xf numFmtId="44" fontId="20" fillId="10" borderId="0" xfId="0" applyNumberFormat="1" applyFont="1" applyFill="1"/>
    <xf numFmtId="0" fontId="34" fillId="10" borderId="0" xfId="0" applyFont="1" applyFill="1"/>
    <xf numFmtId="9" fontId="19" fillId="10" borderId="0" xfId="0" applyNumberFormat="1" applyFont="1" applyFill="1"/>
    <xf numFmtId="43" fontId="41" fillId="0" borderId="0" xfId="0" applyNumberFormat="1" applyFont="1"/>
    <xf numFmtId="44" fontId="34" fillId="0" borderId="0" xfId="0" applyNumberFormat="1" applyFont="1"/>
    <xf numFmtId="0" fontId="41" fillId="0" borderId="0" xfId="0" applyFont="1"/>
    <xf numFmtId="0" fontId="43" fillId="0" borderId="0" xfId="0" applyFont="1"/>
    <xf numFmtId="0" fontId="42" fillId="0" borderId="0" xfId="0" applyFont="1" applyAlignment="1">
      <alignment horizontal="left"/>
    </xf>
    <xf numFmtId="44" fontId="10" fillId="10" borderId="0" xfId="0" applyNumberFormat="1" applyFont="1" applyFill="1"/>
    <xf numFmtId="0" fontId="18" fillId="0" borderId="16" xfId="0" applyFont="1" applyBorder="1"/>
    <xf numFmtId="0" fontId="18" fillId="0" borderId="25" xfId="0" applyFont="1" applyBorder="1"/>
    <xf numFmtId="0" fontId="18" fillId="0" borderId="14" xfId="0" applyFont="1" applyBorder="1" applyAlignment="1">
      <alignment horizontal="center"/>
    </xf>
    <xf numFmtId="164" fontId="18" fillId="0" borderId="16" xfId="0" applyNumberFormat="1" applyFont="1" applyBorder="1"/>
    <xf numFmtId="44" fontId="18" fillId="0" borderId="16" xfId="2" applyFont="1" applyBorder="1"/>
    <xf numFmtId="164" fontId="19" fillId="0" borderId="16" xfId="0" applyNumberFormat="1" applyFont="1" applyBorder="1"/>
    <xf numFmtId="167" fontId="18" fillId="0" borderId="16" xfId="0" applyNumberFormat="1" applyFont="1" applyBorder="1"/>
    <xf numFmtId="164" fontId="1" fillId="0" borderId="16" xfId="0" applyNumberFormat="1" applyFont="1" applyBorder="1"/>
    <xf numFmtId="43" fontId="41" fillId="0" borderId="16" xfId="0" applyNumberFormat="1" applyFont="1" applyBorder="1"/>
    <xf numFmtId="0" fontId="19" fillId="0" borderId="26" xfId="0" applyFont="1" applyBorder="1"/>
    <xf numFmtId="0" fontId="19" fillId="0" borderId="27" xfId="0" applyFont="1" applyBorder="1"/>
    <xf numFmtId="0" fontId="19" fillId="0" borderId="28" xfId="0" applyFont="1" applyBorder="1"/>
    <xf numFmtId="16" fontId="18" fillId="0" borderId="29" xfId="0" applyNumberFormat="1" applyFont="1" applyBorder="1" applyAlignment="1">
      <alignment horizontal="center"/>
    </xf>
    <xf numFmtId="164" fontId="19" fillId="0" borderId="26" xfId="0" applyNumberFormat="1" applyFont="1" applyBorder="1"/>
    <xf numFmtId="44" fontId="19" fillId="0" borderId="26" xfId="0" applyNumberFormat="1" applyFont="1" applyBorder="1"/>
    <xf numFmtId="164" fontId="22" fillId="0" borderId="26" xfId="0" applyNumberFormat="1" applyFont="1" applyBorder="1"/>
    <xf numFmtId="164" fontId="19" fillId="0" borderId="30" xfId="0" applyNumberFormat="1" applyFont="1" applyBorder="1"/>
    <xf numFmtId="0" fontId="2" fillId="0" borderId="26" xfId="0" applyFont="1" applyBorder="1"/>
    <xf numFmtId="0" fontId="0" fillId="0" borderId="26" xfId="0" applyBorder="1"/>
    <xf numFmtId="0" fontId="19" fillId="0" borderId="16" xfId="0" applyFont="1" applyBorder="1"/>
    <xf numFmtId="0" fontId="19" fillId="0" borderId="25" xfId="0" applyFont="1" applyBorder="1"/>
    <xf numFmtId="44" fontId="19" fillId="0" borderId="16" xfId="0" applyNumberFormat="1" applyFont="1" applyBorder="1"/>
    <xf numFmtId="167" fontId="19" fillId="0" borderId="26" xfId="0" applyNumberFormat="1" applyFont="1" applyBorder="1"/>
    <xf numFmtId="164" fontId="2" fillId="0" borderId="16" xfId="0" applyNumberFormat="1" applyFont="1" applyBorder="1"/>
    <xf numFmtId="44" fontId="6" fillId="0" borderId="16" xfId="2" applyFont="1" applyFill="1" applyBorder="1"/>
    <xf numFmtId="164" fontId="6" fillId="0" borderId="16" xfId="0" applyNumberFormat="1" applyFont="1" applyBorder="1"/>
    <xf numFmtId="0" fontId="2" fillId="0" borderId="25" xfId="0" applyFont="1" applyBorder="1"/>
    <xf numFmtId="44" fontId="2" fillId="0" borderId="16" xfId="2" applyFont="1" applyBorder="1"/>
    <xf numFmtId="0" fontId="2" fillId="0" borderId="27" xfId="0" applyFont="1" applyBorder="1"/>
    <xf numFmtId="0" fontId="2" fillId="0" borderId="28" xfId="0" applyFont="1" applyBorder="1"/>
    <xf numFmtId="16" fontId="1" fillId="0" borderId="29" xfId="0" applyNumberFormat="1" applyFont="1" applyBorder="1" applyAlignment="1">
      <alignment horizontal="center"/>
    </xf>
    <xf numFmtId="164" fontId="2" fillId="0" borderId="26" xfId="0" applyNumberFormat="1" applyFont="1" applyBorder="1"/>
    <xf numFmtId="44" fontId="6" fillId="0" borderId="26" xfId="2" applyFont="1" applyFill="1" applyBorder="1"/>
    <xf numFmtId="164" fontId="6" fillId="0" borderId="26" xfId="0" applyNumberFormat="1" applyFont="1" applyBorder="1"/>
    <xf numFmtId="9" fontId="10" fillId="10" borderId="0" xfId="0" applyNumberFormat="1" applyFont="1" applyFill="1"/>
    <xf numFmtId="164" fontId="10" fillId="10" borderId="0" xfId="0" applyNumberFormat="1" applyFont="1" applyFill="1"/>
    <xf numFmtId="0" fontId="44" fillId="0" borderId="0" xfId="0" applyFont="1"/>
    <xf numFmtId="164" fontId="45" fillId="0" borderId="0" xfId="0" applyNumberFormat="1" applyFont="1"/>
    <xf numFmtId="0" fontId="43" fillId="0" borderId="0" xfId="0" applyFont="1" applyAlignment="1">
      <alignment horizontal="left"/>
    </xf>
    <xf numFmtId="0" fontId="45" fillId="0" borderId="0" xfId="0" applyFont="1"/>
    <xf numFmtId="0" fontId="8" fillId="0" borderId="16" xfId="0" applyFont="1" applyBorder="1"/>
    <xf numFmtId="0" fontId="2" fillId="0" borderId="16" xfId="0" applyFont="1" applyBorder="1" applyAlignment="1">
      <alignment horizontal="center"/>
    </xf>
    <xf numFmtId="44" fontId="10" fillId="0" borderId="0" xfId="2" applyFont="1"/>
    <xf numFmtId="164" fontId="43" fillId="0" borderId="0" xfId="0" applyNumberFormat="1" applyFont="1"/>
    <xf numFmtId="0" fontId="43" fillId="4" borderId="18" xfId="0" applyFont="1" applyFill="1" applyBorder="1" applyAlignment="1">
      <alignment wrapText="1"/>
    </xf>
    <xf numFmtId="0" fontId="43" fillId="4" borderId="20" xfId="0" applyFont="1" applyFill="1" applyBorder="1" applyAlignment="1">
      <alignment wrapText="1"/>
    </xf>
    <xf numFmtId="174" fontId="0" fillId="0" borderId="0" xfId="0" applyNumberFormat="1"/>
    <xf numFmtId="9" fontId="2" fillId="10" borderId="0" xfId="0" applyNumberFormat="1" applyFont="1" applyFill="1"/>
    <xf numFmtId="0" fontId="2" fillId="0" borderId="20" xfId="0" applyFont="1" applyBorder="1"/>
    <xf numFmtId="164" fontId="2" fillId="0" borderId="20" xfId="0" applyNumberFormat="1" applyFont="1" applyBorder="1"/>
    <xf numFmtId="165" fontId="3" fillId="0" borderId="20" xfId="0" applyNumberFormat="1" applyFont="1" applyBorder="1"/>
    <xf numFmtId="0" fontId="2" fillId="4" borderId="21" xfId="0" applyFont="1" applyFill="1" applyBorder="1" applyAlignment="1">
      <alignment wrapText="1"/>
    </xf>
    <xf numFmtId="0" fontId="0" fillId="0" borderId="0" xfId="0" quotePrefix="1"/>
    <xf numFmtId="14" fontId="0" fillId="0" borderId="0" xfId="0" applyNumberFormat="1"/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164" fontId="1" fillId="0" borderId="33" xfId="0" applyNumberFormat="1" applyFont="1" applyBorder="1" applyAlignment="1">
      <alignment horizontal="center"/>
    </xf>
    <xf numFmtId="0" fontId="43" fillId="4" borderId="34" xfId="0" applyFont="1" applyFill="1" applyBorder="1" applyAlignment="1">
      <alignment wrapText="1"/>
    </xf>
    <xf numFmtId="164" fontId="2" fillId="4" borderId="35" xfId="0" applyNumberFormat="1" applyFont="1" applyFill="1" applyBorder="1"/>
    <xf numFmtId="0" fontId="43" fillId="4" borderId="36" xfId="0" applyFont="1" applyFill="1" applyBorder="1" applyAlignment="1">
      <alignment wrapText="1"/>
    </xf>
    <xf numFmtId="164" fontId="2" fillId="4" borderId="37" xfId="0" applyNumberFormat="1" applyFont="1" applyFill="1" applyBorder="1"/>
    <xf numFmtId="0" fontId="2" fillId="4" borderId="36" xfId="0" applyFont="1" applyFill="1" applyBorder="1" applyAlignment="1">
      <alignment wrapText="1"/>
    </xf>
    <xf numFmtId="0" fontId="45" fillId="4" borderId="38" xfId="0" applyFont="1" applyFill="1" applyBorder="1" applyAlignment="1">
      <alignment horizontal="right" wrapText="1"/>
    </xf>
    <xf numFmtId="0" fontId="2" fillId="4" borderId="39" xfId="0" applyFont="1" applyFill="1" applyBorder="1"/>
    <xf numFmtId="164" fontId="45" fillId="4" borderId="40" xfId="0" applyNumberFormat="1" applyFont="1" applyFill="1" applyBorder="1"/>
    <xf numFmtId="0" fontId="45" fillId="4" borderId="41" xfId="0" applyFont="1" applyFill="1" applyBorder="1" applyAlignment="1">
      <alignment horizontal="right" wrapText="1"/>
    </xf>
    <xf numFmtId="0" fontId="2" fillId="4" borderId="42" xfId="0" applyFont="1" applyFill="1" applyBorder="1"/>
    <xf numFmtId="164" fontId="45" fillId="4" borderId="43" xfId="0" applyNumberFormat="1" applyFont="1" applyFill="1" applyBorder="1"/>
    <xf numFmtId="169" fontId="0" fillId="0" borderId="0" xfId="2" applyNumberFormat="1" applyFont="1"/>
    <xf numFmtId="0" fontId="39" fillId="0" borderId="0" xfId="0" quotePrefix="1" applyFont="1"/>
    <xf numFmtId="0" fontId="46" fillId="0" borderId="0" xfId="0" applyFont="1"/>
    <xf numFmtId="169" fontId="41" fillId="10" borderId="0" xfId="2" applyNumberFormat="1" applyFont="1" applyFill="1"/>
    <xf numFmtId="43" fontId="0" fillId="0" borderId="0" xfId="0" applyNumberFormat="1"/>
    <xf numFmtId="169" fontId="0" fillId="0" borderId="0" xfId="0" applyNumberFormat="1"/>
    <xf numFmtId="169" fontId="0" fillId="10" borderId="0" xfId="2" applyNumberFormat="1" applyFont="1" applyFill="1"/>
    <xf numFmtId="0" fontId="39" fillId="0" borderId="0" xfId="0" applyFont="1" applyAlignment="1">
      <alignment horizontal="right"/>
    </xf>
    <xf numFmtId="0" fontId="47" fillId="0" borderId="0" xfId="0" applyFont="1"/>
    <xf numFmtId="165" fontId="0" fillId="0" borderId="0" xfId="3" applyNumberFormat="1" applyFont="1"/>
    <xf numFmtId="176" fontId="0" fillId="0" borderId="0" xfId="0" applyNumberFormat="1"/>
    <xf numFmtId="0" fontId="1" fillId="0" borderId="16" xfId="0" applyFont="1" applyBorder="1" applyAlignment="1">
      <alignment horizontal="center"/>
    </xf>
    <xf numFmtId="0" fontId="0" fillId="0" borderId="0" xfId="0" applyAlignment="1">
      <alignment horizontal="left"/>
    </xf>
    <xf numFmtId="165" fontId="1" fillId="0" borderId="0" xfId="3" applyNumberFormat="1" applyFont="1"/>
    <xf numFmtId="164" fontId="0" fillId="0" borderId="0" xfId="4" applyNumberFormat="1" applyFont="1"/>
    <xf numFmtId="164" fontId="2" fillId="10" borderId="20" xfId="0" applyNumberFormat="1" applyFont="1" applyFill="1" applyBorder="1"/>
    <xf numFmtId="0" fontId="2" fillId="10" borderId="0" xfId="0" applyFont="1" applyFill="1"/>
    <xf numFmtId="43" fontId="2" fillId="0" borderId="16" xfId="0" applyNumberFormat="1" applyFont="1" applyBorder="1"/>
    <xf numFmtId="0" fontId="2" fillId="0" borderId="14" xfId="0" applyFont="1" applyBorder="1" applyAlignment="1">
      <alignment horizontal="center"/>
    </xf>
    <xf numFmtId="0" fontId="8" fillId="0" borderId="15" xfId="0" applyFont="1" applyBorder="1"/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4" xfId="0" applyFont="1" applyBorder="1" applyAlignment="1">
      <alignment horizontal="center" wrapText="1"/>
    </xf>
    <xf numFmtId="0" fontId="1" fillId="0" borderId="14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8" fillId="0" borderId="6" xfId="0" applyFont="1" applyBorder="1"/>
    <xf numFmtId="0" fontId="1" fillId="0" borderId="2" xfId="0" applyFont="1" applyBorder="1" applyAlignment="1">
      <alignment horizontal="center"/>
    </xf>
    <xf numFmtId="0" fontId="8" fillId="0" borderId="2" xfId="0" applyFont="1" applyBorder="1"/>
  </cellXfs>
  <cellStyles count="5">
    <cellStyle name="Comma" xfId="4" builtinId="3"/>
    <cellStyle name="Currency" xfId="2" builtinId="4"/>
    <cellStyle name="Hyperlink" xfId="1" builtinId="8"/>
    <cellStyle name="Normal" xfId="0" builtinId="0"/>
    <cellStyle name="Percent" xfId="3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83C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Seasonality</a:t>
            </a:r>
            <a:r>
              <a:rPr lang="en-US" baseline="0"/>
              <a:t> Factor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1 Traffic'!$B$19:$M$19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 1 Traffic'!$B$20:$M$20</c:f>
              <c:numCache>
                <c:formatCode>General</c:formatCode>
                <c:ptCount val="12"/>
                <c:pt idx="0">
                  <c:v>0.6</c:v>
                </c:pt>
                <c:pt idx="1">
                  <c:v>0.7</c:v>
                </c:pt>
                <c:pt idx="2">
                  <c:v>0.9</c:v>
                </c:pt>
                <c:pt idx="3">
                  <c:v>1.1000000000000001</c:v>
                </c:pt>
                <c:pt idx="4">
                  <c:v>1.2</c:v>
                </c:pt>
                <c:pt idx="5">
                  <c:v>1.1000000000000001</c:v>
                </c:pt>
                <c:pt idx="6">
                  <c:v>1</c:v>
                </c:pt>
                <c:pt idx="7">
                  <c:v>1.25</c:v>
                </c:pt>
                <c:pt idx="8">
                  <c:v>1.25</c:v>
                </c:pt>
                <c:pt idx="9">
                  <c:v>1.2</c:v>
                </c:pt>
                <c:pt idx="10">
                  <c:v>0.9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D-430C-9777-47767F3A3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205424"/>
        <c:axId val="2004205840"/>
      </c:lineChart>
      <c:catAx>
        <c:axId val="200420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05840"/>
        <c:crosses val="autoZero"/>
        <c:auto val="1"/>
        <c:lblAlgn val="ctr"/>
        <c:lblOffset val="100"/>
        <c:noMultiLvlLbl val="0"/>
      </c:catAx>
      <c:valAx>
        <c:axId val="200420584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0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'Exec Summary-Std'!$C$29</c:f>
              <c:strCache>
                <c:ptCount val="1"/>
                <c:pt idx="0">
                  <c:v>Dividends</c:v>
                </c:pt>
              </c:strCache>
            </c:strRef>
          </c:tx>
          <c:spPr>
            <a:solidFill>
              <a:srgbClr val="383C5B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'Exec Summary-Std'!$D$28:$H$28</c:f>
              <c:strCache>
                <c:ptCount val="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</c:strCache>
            </c:strRef>
          </c:cat>
          <c:val>
            <c:numRef>
              <c:f>'Exec Summary-Std'!$D$29:$H$29</c:f>
              <c:numCache>
                <c:formatCode>_("$"* #,##0_);_("$"* \(#,##0\);_("$"* "-"??_);_(@_)</c:formatCode>
                <c:ptCount val="5"/>
                <c:pt idx="0">
                  <c:v>50000</c:v>
                </c:pt>
                <c:pt idx="1">
                  <c:v>75000</c:v>
                </c:pt>
                <c:pt idx="2">
                  <c:v>75000</c:v>
                </c:pt>
                <c:pt idx="3">
                  <c:v>75000</c:v>
                </c:pt>
                <c:pt idx="4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3-4EFC-A52C-C9ED6E9185E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71035040"/>
        <c:axId val="2006749584"/>
      </c:barChart>
      <c:catAx>
        <c:axId val="7103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749584"/>
        <c:crosses val="autoZero"/>
        <c:auto val="1"/>
        <c:lblAlgn val="ctr"/>
        <c:lblOffset val="100"/>
        <c:noMultiLvlLbl val="0"/>
      </c:catAx>
      <c:valAx>
        <c:axId val="2006749584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103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'Exec Summary-Std'!$C$30</c:f>
              <c:strCache>
                <c:ptCount val="1"/>
                <c:pt idx="0">
                  <c:v>Dividends</c:v>
                </c:pt>
              </c:strCache>
            </c:strRef>
          </c:tx>
          <c:spPr>
            <a:solidFill>
              <a:srgbClr val="383C5B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'Exec Summary-Std'!$D$28:$H$28</c:f>
              <c:strCache>
                <c:ptCount val="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</c:strCache>
            </c:strRef>
          </c:cat>
          <c:val>
            <c:numRef>
              <c:f>'Exec Summary-Std'!$D$30:$H$30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6-45D4-95E8-E5DD294DC5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71035040"/>
        <c:axId val="2006749584"/>
      </c:barChart>
      <c:catAx>
        <c:axId val="7103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749584"/>
        <c:crosses val="autoZero"/>
        <c:auto val="1"/>
        <c:lblAlgn val="ctr"/>
        <c:lblOffset val="100"/>
        <c:noMultiLvlLbl val="0"/>
      </c:catAx>
      <c:valAx>
        <c:axId val="2006749584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7103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0.jpe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295275</xdr:colOff>
      <xdr:row>2</xdr:row>
      <xdr:rowOff>85725</xdr:rowOff>
    </xdr:from>
    <xdr:to>
      <xdr:col>8</xdr:col>
      <xdr:colOff>590550</xdr:colOff>
      <xdr:row>9</xdr:row>
      <xdr:rowOff>161737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DD50AD-C45B-CA88-3178-98EBE932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466725"/>
          <a:ext cx="1581150" cy="1409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566370</xdr:colOff>
      <xdr:row>28</xdr:row>
      <xdr:rowOff>167054</xdr:rowOff>
    </xdr:from>
    <xdr:to>
      <xdr:col>7</xdr:col>
      <xdr:colOff>305532</xdr:colOff>
      <xdr:row>43</xdr:row>
      <xdr:rowOff>52754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75D8D-7B3C-C01E-B2F2-FFBC83086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1</xdr:row>
      <xdr:rowOff>0</xdr:rowOff>
    </xdr:from>
    <xdr:to>
      <xdr:col>11</xdr:col>
      <xdr:colOff>781050</xdr:colOff>
      <xdr:row>8</xdr:row>
      <xdr:rowOff>76012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C8544B-A5D1-4623-9145-CEE1E92B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190500"/>
          <a:ext cx="1581150" cy="1409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87313</xdr:rowOff>
    </xdr:from>
    <xdr:to>
      <xdr:col>9</xdr:col>
      <xdr:colOff>828606</xdr:colOff>
      <xdr:row>5</xdr:row>
      <xdr:rowOff>181178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62B438-5BF9-446B-BB9C-4A47B107C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563" y="87313"/>
          <a:ext cx="1182687" cy="10543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0</xdr:row>
      <xdr:rowOff>38100</xdr:rowOff>
    </xdr:from>
    <xdr:to>
      <xdr:col>9</xdr:col>
      <xdr:colOff>1184861</xdr:colOff>
      <xdr:row>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078725-4C97-4354-AB6F-F916D42D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38100"/>
          <a:ext cx="1175336" cy="1047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19050</xdr:rowOff>
    </xdr:from>
    <xdr:to>
      <xdr:col>2</xdr:col>
      <xdr:colOff>1244823</xdr:colOff>
      <xdr:row>4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9F73B2-FC56-447B-8761-97E6B80FA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09550"/>
          <a:ext cx="1025748" cy="914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561975</xdr:colOff>
      <xdr:row>0</xdr:row>
      <xdr:rowOff>66675</xdr:rowOff>
    </xdr:from>
    <xdr:to>
      <xdr:col>3</xdr:col>
      <xdr:colOff>1228725</xdr:colOff>
      <xdr:row>3</xdr:row>
      <xdr:rowOff>89548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4BC6E7-FE79-4218-97D6-C1DC90897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25" y="66675"/>
          <a:ext cx="666750" cy="5943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219075</xdr:colOff>
      <xdr:row>0</xdr:row>
      <xdr:rowOff>152400</xdr:rowOff>
    </xdr:from>
    <xdr:to>
      <xdr:col>4</xdr:col>
      <xdr:colOff>419100</xdr:colOff>
      <xdr:row>6</xdr:row>
      <xdr:rowOff>96253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6252BE-C56B-42B7-9A35-AA0CFCF0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152400"/>
          <a:ext cx="1219200" cy="10868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1247775</xdr:colOff>
      <xdr:row>0</xdr:row>
      <xdr:rowOff>38100</xdr:rowOff>
    </xdr:from>
    <xdr:to>
      <xdr:col>5</xdr:col>
      <xdr:colOff>133350</xdr:colOff>
      <xdr:row>4</xdr:row>
      <xdr:rowOff>158134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89AEA-9950-415D-868B-A691AEF4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8375" y="38100"/>
          <a:ext cx="1000125" cy="8915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447675</xdr:colOff>
      <xdr:row>0</xdr:row>
      <xdr:rowOff>57150</xdr:rowOff>
    </xdr:from>
    <xdr:to>
      <xdr:col>5</xdr:col>
      <xdr:colOff>1419998</xdr:colOff>
      <xdr:row>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3EE826-72E0-44F3-AEA5-00B240CF6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57150"/>
          <a:ext cx="972323" cy="8667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974959</xdr:colOff>
      <xdr:row>0</xdr:row>
      <xdr:rowOff>76200</xdr:rowOff>
    </xdr:from>
    <xdr:to>
      <xdr:col>5</xdr:col>
      <xdr:colOff>171450</xdr:colOff>
      <xdr:row>5</xdr:row>
      <xdr:rowOff>104587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0D1006-DCC7-4943-8092-CFA0D9C61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09" y="76200"/>
          <a:ext cx="1111016" cy="99041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</xdr:colOff>
      <xdr:row>23</xdr:row>
      <xdr:rowOff>180974</xdr:rowOff>
    </xdr:from>
    <xdr:to>
      <xdr:col>12</xdr:col>
      <xdr:colOff>657225</xdr:colOff>
      <xdr:row>46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06B06-86B7-BE3A-5220-812D3B0AD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342900</xdr:colOff>
      <xdr:row>25</xdr:row>
      <xdr:rowOff>38100</xdr:rowOff>
    </xdr:from>
    <xdr:to>
      <xdr:col>4</xdr:col>
      <xdr:colOff>63500</xdr:colOff>
      <xdr:row>30</xdr:row>
      <xdr:rowOff>121653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1E4E3-B3DD-4746-A0D5-F83C794B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4810125"/>
          <a:ext cx="1219200" cy="1086853"/>
        </a:xfrm>
        <a:prstGeom prst="rect">
          <a:avLst/>
        </a:prstGeom>
      </xdr:spPr>
    </xdr:pic>
    <xdr:clientData/>
  </xdr:twoCellAnchor>
  <xdr:twoCellAnchor editAs="oneCell">
    <xdr:from>
      <xdr:col>1</xdr:col>
      <xdr:colOff>1543050</xdr:colOff>
      <xdr:row>0</xdr:row>
      <xdr:rowOff>38100</xdr:rowOff>
    </xdr:from>
    <xdr:to>
      <xdr:col>2</xdr:col>
      <xdr:colOff>667031</xdr:colOff>
      <xdr:row>5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74D006-B09E-4666-95CE-DCA749C72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38100"/>
          <a:ext cx="1143281" cy="1019175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48</xdr:row>
      <xdr:rowOff>85724</xdr:rowOff>
    </xdr:from>
    <xdr:to>
      <xdr:col>12</xdr:col>
      <xdr:colOff>647700</xdr:colOff>
      <xdr:row>71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ABFCDA-5F8B-4C08-A809-2F272E64B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330200</xdr:colOff>
      <xdr:row>49</xdr:row>
      <xdr:rowOff>120650</xdr:rowOff>
    </xdr:from>
    <xdr:to>
      <xdr:col>4</xdr:col>
      <xdr:colOff>57150</xdr:colOff>
      <xdr:row>55</xdr:row>
      <xdr:rowOff>10528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97DE9-E19C-4BE0-95F1-42AEA42C0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9464675"/>
          <a:ext cx="1289050" cy="10900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arrensburg-mo.com/190/Liquor-License-Fees" TargetMode="External"/><Relationship Id="rId3" Type="http://schemas.openxmlformats.org/officeDocument/2006/relationships/hyperlink" Target="https://www.salestaxhandbook.com/missouri/rates/warrensburg" TargetMode="External"/><Relationship Id="rId7" Type="http://schemas.openxmlformats.org/officeDocument/2006/relationships/hyperlink" Target="https://www.warrensburg-mo.com/190/Liquor-License-Fees" TargetMode="External"/><Relationship Id="rId2" Type="http://schemas.openxmlformats.org/officeDocument/2006/relationships/hyperlink" Target="https://atc.dps.mo.gov/licensing/by_drink.php" TargetMode="External"/><Relationship Id="rId1" Type="http://schemas.openxmlformats.org/officeDocument/2006/relationships/hyperlink" Target="https://atc.dps.mo.gov/licensing/microbrewery.php" TargetMode="External"/><Relationship Id="rId6" Type="http://schemas.openxmlformats.org/officeDocument/2006/relationships/hyperlink" Target="https://atc.dps.mo.gov/licensing/secondary_retail.php" TargetMode="External"/><Relationship Id="rId5" Type="http://schemas.openxmlformats.org/officeDocument/2006/relationships/hyperlink" Target="https://atc.dps.mo.gov/excise_tax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or.mo.gov/taxation/business/tax-types/corporation-income/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3D7A3-7719-4FF3-8788-53AD85D46D9B}">
  <dimension ref="A1:C7"/>
  <sheetViews>
    <sheetView workbookViewId="0">
      <selection activeCell="C8" sqref="C8"/>
    </sheetView>
  </sheetViews>
  <sheetFormatPr defaultRowHeight="14.5"/>
  <cols>
    <col min="2" max="2" width="10.7265625" bestFit="1" customWidth="1"/>
    <col min="3" max="3" width="101" bestFit="1" customWidth="1"/>
  </cols>
  <sheetData>
    <row r="1" spans="1:3">
      <c r="A1" t="s">
        <v>604</v>
      </c>
      <c r="B1" t="s">
        <v>605</v>
      </c>
      <c r="C1" t="s">
        <v>606</v>
      </c>
    </row>
    <row r="2" spans="1:3">
      <c r="A2" s="337" t="s">
        <v>607</v>
      </c>
      <c r="B2" s="338">
        <v>44789</v>
      </c>
      <c r="C2" t="s">
        <v>608</v>
      </c>
    </row>
    <row r="3" spans="1:3">
      <c r="A3" s="337" t="s">
        <v>609</v>
      </c>
      <c r="B3" s="338">
        <v>44853</v>
      </c>
      <c r="C3" s="268" t="s">
        <v>621</v>
      </c>
    </row>
    <row r="4" spans="1:3">
      <c r="A4" s="354" t="s">
        <v>623</v>
      </c>
      <c r="B4" s="338">
        <v>44853</v>
      </c>
      <c r="C4" s="268" t="s">
        <v>622</v>
      </c>
    </row>
    <row r="5" spans="1:3">
      <c r="A5" s="337" t="s">
        <v>624</v>
      </c>
      <c r="B5" s="338">
        <v>45022</v>
      </c>
      <c r="C5" s="268" t="s">
        <v>643</v>
      </c>
    </row>
    <row r="6" spans="1:3">
      <c r="A6" s="337" t="s">
        <v>648</v>
      </c>
      <c r="B6" s="338">
        <v>45030</v>
      </c>
      <c r="C6" s="268" t="s">
        <v>654</v>
      </c>
    </row>
    <row r="7" spans="1:3">
      <c r="A7" s="337" t="s">
        <v>668</v>
      </c>
      <c r="B7" s="338">
        <v>45076</v>
      </c>
      <c r="C7" s="268" t="s">
        <v>669</v>
      </c>
    </row>
  </sheetData>
  <sheetProtection sheet="1" objects="1" scenarios="1"/>
  <pageMargins left="0.7" right="0.7" top="0.75" bottom="0.75" header="0.3" footer="0.3"/>
  <ignoredErrors>
    <ignoredError sqref="A2:A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S1003"/>
  <sheetViews>
    <sheetView zoomScaleNormal="100" workbookViewId="0">
      <pane xSplit="1" ySplit="2" topLeftCell="B56" activePane="bottomRight" state="frozen"/>
      <selection pane="topRight" activeCell="B1" sqref="B1"/>
      <selection pane="bottomLeft" activeCell="A3" sqref="A3"/>
      <selection pane="bottomRight" activeCell="J76" sqref="J76"/>
    </sheetView>
  </sheetViews>
  <sheetFormatPr defaultColWidth="14.453125" defaultRowHeight="15" customHeight="1"/>
  <cols>
    <col min="1" max="1" width="7.1796875" customWidth="1"/>
    <col min="2" max="2" width="12" customWidth="1"/>
    <col min="3" max="3" width="30.26953125" customWidth="1"/>
    <col min="4" max="4" width="9.26953125" customWidth="1"/>
    <col min="5" max="5" width="9.54296875" customWidth="1"/>
    <col min="6" max="7" width="8.7265625" customWidth="1"/>
    <col min="8" max="11" width="10.54296875" bestFit="1" customWidth="1"/>
    <col min="12" max="12" width="9.26953125" customWidth="1"/>
    <col min="13" max="15" width="11.54296875" customWidth="1"/>
    <col min="16" max="16" width="21.81640625" customWidth="1"/>
    <col min="17" max="17" width="34.7265625" customWidth="1"/>
    <col min="18" max="30" width="17.26953125" customWidth="1"/>
  </cols>
  <sheetData>
    <row r="1" spans="1:16" ht="14.5">
      <c r="A1" s="45" t="s">
        <v>459</v>
      </c>
      <c r="B1" s="2"/>
      <c r="C1" s="2"/>
      <c r="D1" s="2"/>
      <c r="E1" s="2"/>
      <c r="L1" s="2"/>
      <c r="M1" s="2"/>
      <c r="N1" s="2"/>
      <c r="O1" s="2"/>
      <c r="P1" s="2"/>
    </row>
    <row r="2" spans="1:16" ht="14.5">
      <c r="A2" s="2" t="s">
        <v>121</v>
      </c>
      <c r="B2" s="2"/>
      <c r="C2" s="2"/>
      <c r="D2" s="2"/>
      <c r="E2" s="2"/>
      <c r="L2" s="2"/>
      <c r="M2" s="2"/>
      <c r="N2" s="2"/>
      <c r="O2" s="2"/>
      <c r="P2" s="2"/>
    </row>
    <row r="3" spans="1:16" ht="14.5">
      <c r="A3" s="2"/>
      <c r="B3" s="2"/>
      <c r="C3" s="2"/>
      <c r="D3" s="2"/>
      <c r="E3" s="2"/>
      <c r="L3" s="2"/>
      <c r="M3" s="2"/>
      <c r="N3" s="2"/>
      <c r="O3" s="2"/>
      <c r="P3" s="2"/>
    </row>
    <row r="4" spans="1:16" ht="14.5">
      <c r="A4" s="2" t="s">
        <v>122</v>
      </c>
      <c r="B4" s="2"/>
      <c r="C4" s="2"/>
      <c r="D4" s="2"/>
      <c r="E4" s="2"/>
      <c r="L4" s="2"/>
      <c r="M4" s="2"/>
      <c r="N4" s="2"/>
      <c r="O4" s="2"/>
      <c r="P4" s="2"/>
    </row>
    <row r="5" spans="1:16" ht="14.5">
      <c r="A5" s="2" t="s">
        <v>123</v>
      </c>
      <c r="B5" s="2"/>
      <c r="C5" s="2"/>
      <c r="D5" s="2"/>
      <c r="E5" s="2"/>
      <c r="L5" s="2"/>
      <c r="M5" s="2"/>
      <c r="N5" s="2"/>
      <c r="O5" s="2"/>
      <c r="P5" s="2"/>
    </row>
    <row r="6" spans="1:16" ht="14.5">
      <c r="A6" s="2" t="s">
        <v>124</v>
      </c>
      <c r="B6" s="2"/>
      <c r="C6" s="2"/>
      <c r="D6" s="2"/>
      <c r="E6" s="2"/>
      <c r="L6" s="2"/>
      <c r="M6" s="2"/>
      <c r="N6" s="2"/>
      <c r="O6" s="2"/>
      <c r="P6" s="2"/>
    </row>
    <row r="7" spans="1:16" ht="14.5">
      <c r="A7" s="2"/>
      <c r="B7" s="2"/>
      <c r="C7" s="2"/>
      <c r="D7" s="2"/>
      <c r="E7" s="2"/>
      <c r="L7" s="2"/>
      <c r="M7" s="2"/>
      <c r="N7" s="2"/>
      <c r="O7" s="2"/>
      <c r="P7" s="2"/>
    </row>
    <row r="8" spans="1:16" ht="14.5">
      <c r="A8" s="2"/>
      <c r="B8" s="3"/>
      <c r="C8" s="2"/>
      <c r="D8" s="2"/>
      <c r="E8" s="2"/>
      <c r="L8" s="2"/>
      <c r="M8" s="2"/>
      <c r="N8" s="2"/>
      <c r="O8" s="2"/>
      <c r="P8" s="2"/>
    </row>
    <row r="9" spans="1:16" ht="14.5">
      <c r="A9" s="2"/>
      <c r="B9" s="2"/>
      <c r="C9" s="2"/>
      <c r="D9" s="2"/>
      <c r="E9" s="2"/>
      <c r="L9" s="2"/>
      <c r="M9" s="2"/>
      <c r="N9" s="2"/>
      <c r="O9" s="2"/>
      <c r="P9" s="2"/>
    </row>
    <row r="10" spans="1:16" ht="14.5">
      <c r="A10" s="2" t="s">
        <v>125</v>
      </c>
      <c r="B10" s="2"/>
      <c r="C10" s="2"/>
      <c r="D10" s="2"/>
      <c r="E10" s="2"/>
      <c r="L10" s="2"/>
      <c r="M10" s="2"/>
      <c r="N10" s="2"/>
      <c r="O10" s="2"/>
      <c r="P10" s="2"/>
    </row>
    <row r="11" spans="1:16" ht="14.5">
      <c r="A11" s="2"/>
      <c r="B11" s="2" t="s">
        <v>126</v>
      </c>
      <c r="C11" s="2"/>
      <c r="D11" s="2"/>
      <c r="E11" s="2"/>
      <c r="L11" s="2"/>
      <c r="M11" s="2"/>
      <c r="N11" s="2"/>
      <c r="O11" s="2"/>
      <c r="P11" s="2"/>
    </row>
    <row r="12" spans="1:16" ht="14.5">
      <c r="A12" s="46">
        <v>1</v>
      </c>
      <c r="B12" s="47">
        <v>300000</v>
      </c>
      <c r="C12" s="48" t="s">
        <v>127</v>
      </c>
      <c r="D12" s="49"/>
      <c r="E12" s="2"/>
      <c r="L12" s="2"/>
      <c r="M12" s="2"/>
      <c r="N12" s="2"/>
      <c r="O12" s="2"/>
      <c r="P12" s="2"/>
    </row>
    <row r="13" spans="1:16" ht="14.5">
      <c r="A13" s="31"/>
      <c r="B13" s="50">
        <v>1</v>
      </c>
      <c r="C13" s="32" t="s">
        <v>128</v>
      </c>
      <c r="D13" s="34"/>
      <c r="E13" s="2"/>
      <c r="L13" s="2"/>
      <c r="M13" s="2"/>
      <c r="N13" s="2"/>
      <c r="O13" s="2"/>
      <c r="P13" s="2"/>
    </row>
    <row r="14" spans="1:16" ht="14.5">
      <c r="A14" s="46">
        <v>2</v>
      </c>
      <c r="B14" s="47">
        <v>0</v>
      </c>
      <c r="C14" s="48" t="s">
        <v>129</v>
      </c>
      <c r="D14" s="49"/>
      <c r="E14" s="2"/>
      <c r="L14" s="2"/>
      <c r="M14" s="2"/>
      <c r="N14" s="2"/>
      <c r="O14" s="2"/>
      <c r="P14" s="2"/>
    </row>
    <row r="15" spans="1:16" ht="14.5">
      <c r="A15" s="31"/>
      <c r="B15" s="50">
        <v>1</v>
      </c>
      <c r="C15" s="32" t="s">
        <v>128</v>
      </c>
      <c r="D15" s="34"/>
      <c r="E15" s="2"/>
      <c r="L15" s="2"/>
      <c r="M15" s="2"/>
      <c r="N15" s="2"/>
      <c r="O15" s="2"/>
      <c r="P15" s="2"/>
    </row>
    <row r="16" spans="1:16" ht="14.5">
      <c r="A16" s="2"/>
      <c r="B16" s="51"/>
      <c r="C16" s="2"/>
      <c r="D16" s="2"/>
      <c r="E16" s="2"/>
      <c r="L16" s="2"/>
      <c r="M16" s="2"/>
      <c r="N16" s="2"/>
      <c r="O16" s="2"/>
      <c r="P16" s="2"/>
    </row>
    <row r="17" spans="1:16" ht="14.5">
      <c r="A17" s="2"/>
      <c r="B17" s="2" t="s">
        <v>130</v>
      </c>
      <c r="C17" s="2"/>
      <c r="D17" s="2"/>
      <c r="E17" s="2"/>
      <c r="L17" s="2"/>
      <c r="M17" s="2"/>
      <c r="N17" s="2"/>
      <c r="O17" s="2"/>
      <c r="P17" s="2"/>
    </row>
    <row r="18" spans="1:16" ht="14.5">
      <c r="A18" s="46">
        <v>1</v>
      </c>
      <c r="B18" s="47">
        <v>0</v>
      </c>
      <c r="C18" s="48" t="s">
        <v>127</v>
      </c>
      <c r="D18" s="49"/>
      <c r="E18" s="2"/>
      <c r="L18" s="2"/>
      <c r="M18" s="2"/>
      <c r="N18" s="2"/>
      <c r="O18" s="2"/>
      <c r="P18" s="2"/>
    </row>
    <row r="19" spans="1:16" ht="14.5">
      <c r="A19" s="31"/>
      <c r="B19" s="50">
        <v>1</v>
      </c>
      <c r="C19" s="32" t="s">
        <v>128</v>
      </c>
      <c r="D19" s="34"/>
      <c r="E19" s="2"/>
      <c r="L19" s="2"/>
      <c r="M19" s="2"/>
      <c r="N19" s="2"/>
      <c r="O19" s="2"/>
      <c r="P19" s="2"/>
    </row>
    <row r="20" spans="1:16" ht="14.5">
      <c r="A20" s="46">
        <v>2</v>
      </c>
      <c r="B20" s="47">
        <v>0</v>
      </c>
      <c r="C20" s="48" t="s">
        <v>127</v>
      </c>
      <c r="D20" s="49"/>
      <c r="E20" s="2"/>
      <c r="L20" s="2"/>
      <c r="M20" s="2"/>
      <c r="N20" s="2"/>
      <c r="O20" s="2"/>
      <c r="P20" s="2"/>
    </row>
    <row r="21" spans="1:16" ht="15.75" customHeight="1">
      <c r="A21" s="31"/>
      <c r="B21" s="50">
        <v>1</v>
      </c>
      <c r="C21" s="32" t="s">
        <v>128</v>
      </c>
      <c r="D21" s="34"/>
      <c r="E21" s="2"/>
      <c r="L21" s="2"/>
      <c r="M21" s="2"/>
      <c r="N21" s="2"/>
      <c r="O21" s="2"/>
      <c r="P21" s="2"/>
    </row>
    <row r="22" spans="1:16" ht="15.75" customHeight="1">
      <c r="A22" s="2"/>
      <c r="B22" s="51"/>
      <c r="C22" s="2"/>
      <c r="D22" s="2"/>
      <c r="E22" s="2"/>
      <c r="L22" s="2"/>
      <c r="M22" s="2"/>
      <c r="N22" s="2"/>
      <c r="O22" s="2"/>
      <c r="P22" s="2"/>
    </row>
    <row r="23" spans="1:16" ht="15.75" customHeight="1">
      <c r="A23" s="2"/>
      <c r="B23" s="39" t="s">
        <v>131</v>
      </c>
      <c r="C23" s="2"/>
      <c r="D23" s="2"/>
      <c r="E23" s="2"/>
      <c r="L23" s="2"/>
      <c r="M23" s="2"/>
      <c r="N23" s="2"/>
      <c r="O23" s="2"/>
      <c r="P23" s="2"/>
    </row>
    <row r="24" spans="1:16" ht="15.75" customHeight="1">
      <c r="A24" s="46">
        <v>1</v>
      </c>
      <c r="B24" s="47"/>
      <c r="C24" s="48" t="s">
        <v>127</v>
      </c>
      <c r="D24" s="49"/>
      <c r="E24" s="282"/>
      <c r="L24" s="2"/>
      <c r="M24" s="2"/>
      <c r="N24" s="2"/>
      <c r="O24" s="2"/>
      <c r="P24" s="2"/>
    </row>
    <row r="25" spans="1:16" ht="15.75" customHeight="1">
      <c r="A25" s="31"/>
      <c r="B25" s="50">
        <v>1</v>
      </c>
      <c r="C25" s="32" t="s">
        <v>128</v>
      </c>
      <c r="D25" s="34"/>
      <c r="E25" s="2"/>
      <c r="L25" s="2"/>
      <c r="M25" s="2"/>
      <c r="N25" s="2"/>
      <c r="O25" s="2"/>
      <c r="P25" s="2"/>
    </row>
    <row r="26" spans="1:16" ht="15.75" customHeight="1">
      <c r="A26" s="46">
        <v>2</v>
      </c>
      <c r="B26" s="47">
        <v>0</v>
      </c>
      <c r="C26" s="48" t="s">
        <v>127</v>
      </c>
      <c r="D26" s="49"/>
      <c r="E26" s="2"/>
      <c r="L26" s="2"/>
      <c r="M26" s="2"/>
      <c r="N26" s="2"/>
      <c r="O26" s="2"/>
      <c r="P26" s="2"/>
    </row>
    <row r="27" spans="1:16" ht="15.75" customHeight="1">
      <c r="A27" s="31"/>
      <c r="B27" s="50">
        <v>1</v>
      </c>
      <c r="C27" s="32" t="s">
        <v>128</v>
      </c>
      <c r="D27" s="34"/>
      <c r="E27" s="2"/>
      <c r="L27" s="2"/>
      <c r="M27" s="2"/>
      <c r="N27" s="2"/>
      <c r="O27" s="2"/>
      <c r="P27" s="2"/>
    </row>
    <row r="28" spans="1:16" ht="15.75" customHeight="1">
      <c r="A28" s="46">
        <v>3</v>
      </c>
      <c r="B28" s="47">
        <v>0</v>
      </c>
      <c r="C28" s="48" t="s">
        <v>127</v>
      </c>
      <c r="D28" s="49"/>
      <c r="E28" s="2"/>
      <c r="L28" s="2"/>
      <c r="M28" s="2"/>
      <c r="N28" s="2"/>
      <c r="O28" s="2"/>
      <c r="P28" s="2"/>
    </row>
    <row r="29" spans="1:16" ht="15.75" customHeight="1">
      <c r="A29" s="31"/>
      <c r="B29" s="50">
        <v>1</v>
      </c>
      <c r="C29" s="32" t="s">
        <v>128</v>
      </c>
      <c r="D29" s="34"/>
      <c r="E29" s="2"/>
      <c r="L29" s="2"/>
      <c r="M29" s="2"/>
      <c r="N29" s="2"/>
      <c r="O29" s="2"/>
      <c r="P29" s="2"/>
    </row>
    <row r="30" spans="1:16" ht="15.75" customHeight="1">
      <c r="A30" s="46">
        <v>4</v>
      </c>
      <c r="B30" s="47">
        <v>0</v>
      </c>
      <c r="C30" s="48" t="s">
        <v>127</v>
      </c>
      <c r="D30" s="49"/>
      <c r="E30" s="2"/>
      <c r="L30" s="2"/>
      <c r="M30" s="2"/>
      <c r="N30" s="2"/>
      <c r="O30" s="2"/>
      <c r="P30" s="2"/>
    </row>
    <row r="31" spans="1:16" ht="15.75" customHeight="1">
      <c r="A31" s="31"/>
      <c r="B31" s="50">
        <v>1</v>
      </c>
      <c r="C31" s="32" t="s">
        <v>128</v>
      </c>
      <c r="D31" s="34"/>
      <c r="E31" s="2"/>
      <c r="L31" s="2"/>
      <c r="M31" s="2"/>
      <c r="N31" s="2"/>
      <c r="O31" s="2"/>
      <c r="P31" s="2"/>
    </row>
    <row r="32" spans="1:16" ht="15.75" customHeight="1">
      <c r="A32" s="2"/>
      <c r="B32" s="51"/>
      <c r="C32" s="2"/>
      <c r="D32" s="2"/>
      <c r="E32" s="2"/>
      <c r="L32" s="2"/>
      <c r="M32" s="2"/>
      <c r="N32" s="2"/>
      <c r="O32" s="2"/>
      <c r="P32" s="2"/>
    </row>
    <row r="33" spans="1:16" ht="15.75" customHeight="1">
      <c r="A33" s="2" t="s">
        <v>132</v>
      </c>
      <c r="B33" s="52"/>
      <c r="C33" s="2"/>
      <c r="D33" s="2"/>
      <c r="E33" s="2"/>
      <c r="L33" s="2"/>
      <c r="M33" s="2"/>
      <c r="N33" s="2"/>
      <c r="O33" s="2"/>
      <c r="P33" s="2"/>
    </row>
    <row r="34" spans="1:16" ht="15.75" customHeight="1">
      <c r="A34" s="46">
        <v>1</v>
      </c>
      <c r="B34" s="53">
        <v>0</v>
      </c>
      <c r="C34" s="48" t="s">
        <v>133</v>
      </c>
      <c r="D34" s="49"/>
      <c r="E34" s="2"/>
      <c r="L34" s="2"/>
      <c r="M34" s="2"/>
      <c r="N34" s="2"/>
      <c r="O34" s="2"/>
      <c r="P34" s="2"/>
    </row>
    <row r="35" spans="1:16" ht="15.75" customHeight="1">
      <c r="A35" s="54"/>
      <c r="B35" s="38">
        <v>120</v>
      </c>
      <c r="C35" s="2" t="s">
        <v>134</v>
      </c>
      <c r="D35" s="55"/>
      <c r="E35" s="2"/>
      <c r="L35" s="2"/>
      <c r="M35" s="2"/>
      <c r="N35" s="2"/>
      <c r="O35" s="2"/>
      <c r="P35" s="2"/>
    </row>
    <row r="36" spans="1:16" ht="15.75" customHeight="1">
      <c r="A36" s="54"/>
      <c r="B36" s="51">
        <v>1</v>
      </c>
      <c r="C36" s="2" t="s">
        <v>128</v>
      </c>
      <c r="D36" s="55"/>
      <c r="E36" s="2"/>
      <c r="L36" s="2"/>
      <c r="M36" s="2"/>
      <c r="N36" s="2"/>
      <c r="O36" s="2"/>
      <c r="P36" s="2"/>
    </row>
    <row r="37" spans="1:16" ht="15.75" customHeight="1">
      <c r="A37" s="31"/>
      <c r="B37" s="56">
        <v>0.1</v>
      </c>
      <c r="C37" s="32" t="s">
        <v>135</v>
      </c>
      <c r="D37" s="34"/>
      <c r="E37" s="2"/>
      <c r="L37" s="2"/>
      <c r="M37" s="2"/>
      <c r="N37" s="2"/>
      <c r="O37" s="2"/>
      <c r="P37" s="2"/>
    </row>
    <row r="38" spans="1:16" ht="15.75" customHeight="1">
      <c r="A38" s="46">
        <v>2</v>
      </c>
      <c r="B38" s="53">
        <v>0</v>
      </c>
      <c r="C38" s="48" t="s">
        <v>133</v>
      </c>
      <c r="D38" s="49"/>
      <c r="E38" s="2"/>
      <c r="L38" s="2"/>
      <c r="M38" s="2"/>
      <c r="N38" s="2"/>
      <c r="O38" s="2"/>
      <c r="P38" s="2"/>
    </row>
    <row r="39" spans="1:16" ht="15.75" customHeight="1">
      <c r="A39" s="54"/>
      <c r="B39" s="38">
        <v>0</v>
      </c>
      <c r="C39" s="2" t="s">
        <v>134</v>
      </c>
      <c r="D39" s="55"/>
      <c r="E39" s="2"/>
      <c r="L39" s="2"/>
      <c r="M39" s="2"/>
      <c r="N39" s="2"/>
      <c r="O39" s="2"/>
      <c r="P39" s="2"/>
    </row>
    <row r="40" spans="1:16" ht="15.75" customHeight="1">
      <c r="A40" s="54"/>
      <c r="B40" s="51">
        <v>1</v>
      </c>
      <c r="C40" s="2" t="s">
        <v>128</v>
      </c>
      <c r="D40" s="55"/>
      <c r="E40" s="2"/>
      <c r="L40" s="2"/>
      <c r="M40" s="2"/>
      <c r="N40" s="2"/>
      <c r="O40" s="2"/>
      <c r="P40" s="2"/>
    </row>
    <row r="41" spans="1:16" ht="15.75" customHeight="1">
      <c r="A41" s="31"/>
      <c r="B41" s="56">
        <v>0</v>
      </c>
      <c r="C41" s="32" t="s">
        <v>135</v>
      </c>
      <c r="D41" s="34"/>
      <c r="E41" s="2"/>
      <c r="L41" s="2"/>
      <c r="M41" s="2"/>
      <c r="N41" s="2"/>
      <c r="O41" s="2"/>
      <c r="P41" s="2"/>
    </row>
    <row r="42" spans="1:16" ht="15.75" customHeight="1">
      <c r="A42" s="2"/>
      <c r="B42" s="57"/>
      <c r="C42" s="2"/>
      <c r="D42" s="2"/>
      <c r="E42" s="2"/>
      <c r="L42" s="2"/>
      <c r="M42" s="2"/>
      <c r="N42" s="2"/>
      <c r="O42" s="2"/>
      <c r="P42" s="2"/>
    </row>
    <row r="43" spans="1:16" ht="15.75" customHeight="1">
      <c r="A43" s="2" t="s">
        <v>136</v>
      </c>
      <c r="B43" s="2"/>
      <c r="C43" s="2"/>
      <c r="D43" s="2"/>
      <c r="E43" s="2"/>
      <c r="L43" s="2"/>
      <c r="M43" s="2"/>
      <c r="N43" s="2"/>
      <c r="O43" s="2"/>
      <c r="P43" s="2"/>
    </row>
    <row r="44" spans="1:16" ht="15.75" customHeight="1">
      <c r="A44" s="46"/>
      <c r="B44" s="58" t="s">
        <v>137</v>
      </c>
      <c r="C44" s="48" t="s">
        <v>138</v>
      </c>
      <c r="D44" s="49"/>
      <c r="E44" s="2"/>
      <c r="L44" s="2"/>
      <c r="M44" s="2"/>
      <c r="N44" s="2"/>
      <c r="O44" s="2"/>
      <c r="P44" s="2"/>
    </row>
    <row r="45" spans="1:16" ht="15.75" customHeight="1">
      <c r="A45" s="54"/>
      <c r="B45" s="59">
        <v>5000</v>
      </c>
      <c r="C45" s="2" t="s">
        <v>139</v>
      </c>
      <c r="D45" s="55"/>
      <c r="E45" s="2"/>
      <c r="L45" s="2"/>
      <c r="M45" s="2"/>
      <c r="N45" s="2"/>
      <c r="O45" s="2"/>
      <c r="P45" s="2"/>
    </row>
    <row r="46" spans="1:16" ht="15.75" customHeight="1">
      <c r="A46" s="31"/>
      <c r="B46" s="50">
        <v>1</v>
      </c>
      <c r="C46" s="32" t="s">
        <v>140</v>
      </c>
      <c r="D46" s="34"/>
      <c r="E46" s="2"/>
      <c r="L46" s="2"/>
      <c r="M46" s="2"/>
      <c r="N46" s="2"/>
      <c r="O46" s="2"/>
      <c r="P46" s="2"/>
    </row>
    <row r="47" spans="1:16" ht="15.75" customHeight="1">
      <c r="A47" s="2"/>
      <c r="B47" s="2"/>
      <c r="C47" s="2"/>
      <c r="D47" s="2"/>
      <c r="E47" s="2"/>
      <c r="L47" s="2"/>
      <c r="M47" s="2"/>
      <c r="N47" s="2"/>
      <c r="O47" s="2"/>
      <c r="P47" s="2"/>
    </row>
    <row r="48" spans="1:16" ht="15.75" customHeight="1">
      <c r="A48" s="2" t="s">
        <v>461</v>
      </c>
      <c r="B48" s="2"/>
      <c r="C48" s="261">
        <v>9.4750000000000001E-2</v>
      </c>
      <c r="D48" s="262" t="s">
        <v>460</v>
      </c>
      <c r="E48" s="2"/>
      <c r="L48" s="2"/>
      <c r="M48" s="2"/>
      <c r="N48" s="2"/>
      <c r="O48" s="2"/>
      <c r="P48" s="2"/>
    </row>
    <row r="49" spans="1:19" ht="15.75" customHeight="1">
      <c r="A49" s="2"/>
      <c r="B49" s="2"/>
      <c r="C49" s="2"/>
      <c r="D49" s="2"/>
      <c r="E49" s="2"/>
      <c r="L49" s="2"/>
      <c r="M49" s="2"/>
      <c r="N49" s="2"/>
      <c r="O49" s="2"/>
      <c r="P49" s="2"/>
    </row>
    <row r="50" spans="1:19" ht="15.75" customHeight="1">
      <c r="A50" s="282" t="s">
        <v>557</v>
      </c>
      <c r="B50" s="2"/>
      <c r="C50" s="57">
        <v>0.25</v>
      </c>
      <c r="D50" s="262" t="s">
        <v>462</v>
      </c>
      <c r="E50" s="282" t="s">
        <v>558</v>
      </c>
      <c r="L50" s="2"/>
      <c r="M50" s="2"/>
      <c r="N50" s="2"/>
      <c r="O50" s="2"/>
      <c r="P50" s="2"/>
    </row>
    <row r="51" spans="1:19" ht="15.75" customHeight="1">
      <c r="A51" s="2"/>
      <c r="B51" s="2"/>
      <c r="C51" s="2"/>
      <c r="D51" s="2"/>
      <c r="E51" s="2"/>
      <c r="L51" s="2"/>
      <c r="M51" s="2"/>
      <c r="N51" s="2"/>
      <c r="O51" s="2"/>
      <c r="P51" s="2"/>
    </row>
    <row r="52" spans="1:19" ht="15.75" customHeight="1">
      <c r="A52" s="2" t="s">
        <v>141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 spans="1:19" ht="15.75" customHeight="1">
      <c r="A53" s="2"/>
      <c r="B53" s="59">
        <v>3.5</v>
      </c>
      <c r="C53" s="2" t="s">
        <v>142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 spans="1:19" ht="15.75" customHeight="1">
      <c r="A54" s="2"/>
      <c r="B54" s="59">
        <f>0.06*31</f>
        <v>1.8599999999999999</v>
      </c>
      <c r="C54" s="262" t="s">
        <v>463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</row>
    <row r="55" spans="1:19" ht="15.75" customHeight="1">
      <c r="A55" s="2"/>
      <c r="B55" s="2"/>
      <c r="C55" s="2"/>
      <c r="D55" s="2"/>
      <c r="E55" s="2"/>
      <c r="L55" s="2"/>
      <c r="M55" s="2"/>
      <c r="N55" s="2"/>
      <c r="O55" s="2"/>
      <c r="P55" s="2"/>
    </row>
    <row r="56" spans="1:19" ht="15.75" customHeight="1">
      <c r="A56" s="2" t="s">
        <v>143</v>
      </c>
      <c r="B56" s="2"/>
      <c r="C56" s="2"/>
      <c r="D56" s="2"/>
      <c r="E56" s="2"/>
      <c r="L56" s="2"/>
      <c r="M56" s="2"/>
      <c r="N56" s="2"/>
      <c r="O56" s="2"/>
      <c r="P56" s="2"/>
    </row>
    <row r="57" spans="1:19" ht="15.75" customHeight="1">
      <c r="A57" s="2"/>
      <c r="B57" s="60">
        <v>0.5</v>
      </c>
      <c r="C57" s="2" t="s">
        <v>144</v>
      </c>
      <c r="D57" s="2"/>
      <c r="E57" s="2"/>
      <c r="L57" s="2"/>
      <c r="M57" s="2"/>
      <c r="N57" s="2"/>
      <c r="O57" s="2"/>
      <c r="P57" s="2"/>
    </row>
    <row r="58" spans="1:19" ht="15.75" customHeight="1">
      <c r="A58" s="2"/>
      <c r="B58" s="60">
        <v>0.5</v>
      </c>
      <c r="C58" s="2" t="s">
        <v>145</v>
      </c>
      <c r="D58" s="2"/>
      <c r="E58" s="2"/>
      <c r="L58" s="2"/>
      <c r="M58" s="2"/>
      <c r="N58" s="2"/>
      <c r="O58" s="2"/>
      <c r="P58" s="2"/>
    </row>
    <row r="59" spans="1:19" ht="15.75" customHeight="1">
      <c r="A59" s="2"/>
      <c r="B59" s="61">
        <f>SUM(B57:B58)</f>
        <v>1</v>
      </c>
      <c r="C59" s="2"/>
      <c r="D59" s="2"/>
      <c r="E59" s="2"/>
      <c r="L59" s="2"/>
      <c r="M59" s="2"/>
      <c r="N59" s="2"/>
      <c r="O59" s="2"/>
      <c r="P59" s="2"/>
    </row>
    <row r="60" spans="1:19" ht="15.75" customHeight="1">
      <c r="A60" s="2"/>
      <c r="B60" s="2"/>
      <c r="C60" s="2"/>
      <c r="D60" s="2"/>
      <c r="E60" s="2"/>
      <c r="L60" s="2"/>
      <c r="M60" s="2"/>
      <c r="N60" s="2"/>
      <c r="O60" s="2"/>
      <c r="P60" s="2"/>
    </row>
    <row r="61" spans="1:19" ht="15.75" customHeight="1">
      <c r="A61" s="2"/>
      <c r="B61" s="2"/>
      <c r="C61" s="2"/>
      <c r="D61" s="2"/>
      <c r="E61" s="2"/>
      <c r="L61" s="2"/>
      <c r="M61" s="2"/>
      <c r="N61" s="2"/>
      <c r="O61" s="2"/>
      <c r="P61" s="2"/>
    </row>
    <row r="62" spans="1:19" ht="15.75" customHeight="1">
      <c r="A62" s="1" t="s">
        <v>146</v>
      </c>
      <c r="B62" s="2"/>
      <c r="C62" s="2"/>
      <c r="D62" s="371" t="s">
        <v>147</v>
      </c>
      <c r="E62" s="372"/>
      <c r="F62" s="372"/>
      <c r="G62" s="372"/>
      <c r="H62" s="325"/>
      <c r="I62" s="325"/>
      <c r="J62" s="325"/>
      <c r="K62" s="325"/>
      <c r="L62" s="2"/>
      <c r="M62" s="2"/>
      <c r="N62" s="2"/>
      <c r="O62" s="2"/>
      <c r="P62" s="2"/>
      <c r="Q62" s="1" t="s">
        <v>148</v>
      </c>
    </row>
    <row r="63" spans="1:19" ht="15.75" customHeight="1">
      <c r="A63" s="2"/>
      <c r="B63" s="2"/>
      <c r="C63" s="2"/>
      <c r="D63" s="62" t="s">
        <v>149</v>
      </c>
      <c r="E63" s="62" t="s">
        <v>150</v>
      </c>
      <c r="F63" s="62" t="s">
        <v>151</v>
      </c>
      <c r="G63" s="62" t="s">
        <v>152</v>
      </c>
      <c r="H63" s="326"/>
      <c r="I63" s="326"/>
      <c r="J63" s="326"/>
      <c r="K63" s="326"/>
      <c r="L63" s="2"/>
      <c r="M63" s="2"/>
      <c r="N63" s="2"/>
      <c r="O63" s="2"/>
      <c r="P63" s="2"/>
      <c r="Q63" s="63" t="s">
        <v>153</v>
      </c>
    </row>
    <row r="64" spans="1:19" ht="15.75" customHeight="1">
      <c r="A64" s="2"/>
      <c r="B64" s="59">
        <v>200</v>
      </c>
      <c r="C64" s="2" t="s">
        <v>46</v>
      </c>
      <c r="D64" s="60">
        <v>0.05</v>
      </c>
      <c r="E64" s="60">
        <v>0.05</v>
      </c>
      <c r="F64" s="60">
        <v>0.03</v>
      </c>
      <c r="G64" s="60">
        <v>0.03</v>
      </c>
      <c r="H64" s="327">
        <f>B64*(1+D64)</f>
        <v>210</v>
      </c>
      <c r="I64" s="327">
        <f>H64*(1+E64)</f>
        <v>220.5</v>
      </c>
      <c r="J64" s="327">
        <f>I64*(1+F64)</f>
        <v>227.11500000000001</v>
      </c>
      <c r="K64" s="327">
        <f>J64*(1+G64)</f>
        <v>233.92845000000003</v>
      </c>
      <c r="L64" s="327"/>
      <c r="M64" s="2"/>
      <c r="N64" s="2"/>
      <c r="O64" s="2"/>
      <c r="P64" s="2"/>
      <c r="Q64" s="262" t="s">
        <v>464</v>
      </c>
      <c r="R64" s="64">
        <v>250</v>
      </c>
      <c r="S64" t="s">
        <v>465</v>
      </c>
    </row>
    <row r="65" spans="1:19" ht="15.75" customHeight="1">
      <c r="A65" s="2"/>
      <c r="B65" s="60">
        <v>0.03</v>
      </c>
      <c r="C65" s="2" t="s">
        <v>457</v>
      </c>
      <c r="D65" s="60"/>
      <c r="E65" s="60"/>
      <c r="F65" s="2"/>
      <c r="G65" s="2"/>
      <c r="I65" s="2"/>
      <c r="J65" s="2"/>
      <c r="K65" s="2"/>
      <c r="L65" s="2"/>
      <c r="M65" s="2"/>
      <c r="N65" s="2"/>
      <c r="O65" s="2"/>
      <c r="P65" s="2"/>
      <c r="Q65" s="262" t="s">
        <v>466</v>
      </c>
      <c r="R65" s="64">
        <v>300</v>
      </c>
    </row>
    <row r="66" spans="1:19" ht="15.75" customHeight="1">
      <c r="A66" s="2"/>
      <c r="B66" s="59">
        <f>(169+195+899)/12</f>
        <v>105.25</v>
      </c>
      <c r="C66" s="2" t="s">
        <v>154</v>
      </c>
      <c r="D66" s="60">
        <v>0.02</v>
      </c>
      <c r="E66" s="60">
        <v>0.02</v>
      </c>
      <c r="F66" s="60">
        <v>0.02</v>
      </c>
      <c r="G66" s="60">
        <v>0.02</v>
      </c>
      <c r="H66" s="327">
        <f>B66*(1+D66)</f>
        <v>107.355</v>
      </c>
      <c r="I66" s="327">
        <f t="shared" ref="I66:K68" si="0">H66*(1+E66)</f>
        <v>109.50210000000001</v>
      </c>
      <c r="J66" s="327">
        <f t="shared" si="0"/>
        <v>111.69214200000002</v>
      </c>
      <c r="K66" s="327">
        <f t="shared" si="0"/>
        <v>113.92598484000003</v>
      </c>
      <c r="L66" s="2"/>
      <c r="M66" s="2" t="s">
        <v>598</v>
      </c>
      <c r="N66" s="2"/>
      <c r="O66" s="2"/>
      <c r="P66" s="2"/>
      <c r="Q66" s="262" t="s">
        <v>467</v>
      </c>
      <c r="R66" s="64">
        <v>225</v>
      </c>
      <c r="S66" t="s">
        <v>468</v>
      </c>
    </row>
    <row r="67" spans="1:19" ht="15.75" customHeight="1">
      <c r="A67" s="2"/>
      <c r="B67" s="59">
        <v>200</v>
      </c>
      <c r="C67" s="21" t="s">
        <v>50</v>
      </c>
      <c r="D67" s="60">
        <v>0.05</v>
      </c>
      <c r="E67" s="60">
        <v>0.05</v>
      </c>
      <c r="F67" s="60">
        <v>0.05</v>
      </c>
      <c r="G67" s="60">
        <v>0.05</v>
      </c>
      <c r="H67" s="327">
        <f>B67*(1+D67)</f>
        <v>210</v>
      </c>
      <c r="I67" s="327">
        <f t="shared" si="0"/>
        <v>220.5</v>
      </c>
      <c r="J67" s="327">
        <f t="shared" si="0"/>
        <v>231.52500000000001</v>
      </c>
      <c r="K67" s="327">
        <f t="shared" si="0"/>
        <v>243.10125000000002</v>
      </c>
      <c r="L67" s="2"/>
      <c r="M67" s="2"/>
      <c r="N67" s="2"/>
      <c r="O67" s="2"/>
      <c r="P67" s="2"/>
      <c r="Q67" s="262" t="s">
        <v>594</v>
      </c>
      <c r="R67" s="64">
        <v>450</v>
      </c>
    </row>
    <row r="68" spans="1:19" ht="15.75" customHeight="1">
      <c r="A68" s="2"/>
      <c r="B68" s="59">
        <v>900</v>
      </c>
      <c r="C68" s="24" t="s">
        <v>155</v>
      </c>
      <c r="D68" s="60">
        <v>0.05</v>
      </c>
      <c r="E68" s="60">
        <v>0.04</v>
      </c>
      <c r="F68" s="60">
        <v>0.03</v>
      </c>
      <c r="G68" s="60">
        <v>0.02</v>
      </c>
      <c r="H68" s="327">
        <f>B68*(1+D68)</f>
        <v>945</v>
      </c>
      <c r="I68" s="327">
        <f t="shared" si="0"/>
        <v>982.80000000000007</v>
      </c>
      <c r="J68" s="327">
        <f t="shared" si="0"/>
        <v>1012.2840000000001</v>
      </c>
      <c r="K68" s="327">
        <f t="shared" si="0"/>
        <v>1032.5296800000001</v>
      </c>
      <c r="L68" s="2"/>
      <c r="M68" s="66"/>
      <c r="N68" s="2"/>
      <c r="O68" s="2"/>
      <c r="P68" s="2"/>
      <c r="Q68" s="262" t="s">
        <v>595</v>
      </c>
      <c r="R68" s="64">
        <v>300</v>
      </c>
    </row>
    <row r="69" spans="1:19" ht="15.75" customHeight="1">
      <c r="A69" s="2"/>
      <c r="B69" s="59">
        <f>SUM(R64:R70)/12</f>
        <v>139.58333333333334</v>
      </c>
      <c r="C69" s="24" t="s">
        <v>156</v>
      </c>
      <c r="D69" s="60"/>
      <c r="E69" s="60"/>
      <c r="F69" s="2"/>
      <c r="G69" s="2"/>
      <c r="H69" s="2"/>
      <c r="I69" s="2"/>
      <c r="J69" s="2"/>
      <c r="K69" s="2"/>
      <c r="L69" s="2"/>
      <c r="M69" s="264" t="s">
        <v>470</v>
      </c>
      <c r="N69" s="2"/>
      <c r="O69" s="2"/>
      <c r="P69" s="2"/>
      <c r="Q69" s="262" t="s">
        <v>596</v>
      </c>
      <c r="R69" s="64">
        <v>75</v>
      </c>
    </row>
    <row r="70" spans="1:19" ht="15.75" customHeight="1">
      <c r="A70" s="2"/>
      <c r="B70" s="59">
        <v>100</v>
      </c>
      <c r="C70" s="24" t="s">
        <v>53</v>
      </c>
      <c r="D70" s="60">
        <v>0.05</v>
      </c>
      <c r="E70" s="60">
        <v>0.05</v>
      </c>
      <c r="F70" s="60">
        <v>0.06</v>
      </c>
      <c r="G70" s="60">
        <v>0.06</v>
      </c>
      <c r="H70" s="327">
        <f>B70*(1+D70)</f>
        <v>105</v>
      </c>
      <c r="I70" s="327">
        <f t="shared" ref="I70:K72" si="1">H70*(1+E70)</f>
        <v>110.25</v>
      </c>
      <c r="J70" s="327">
        <f t="shared" si="1"/>
        <v>116.86500000000001</v>
      </c>
      <c r="K70" s="327">
        <f t="shared" si="1"/>
        <v>123.87690000000002</v>
      </c>
      <c r="L70" s="2"/>
      <c r="M70" s="2"/>
      <c r="N70" s="2"/>
      <c r="O70" s="2"/>
      <c r="P70" s="2"/>
      <c r="Q70" s="262" t="s">
        <v>597</v>
      </c>
      <c r="R70" s="64">
        <v>75</v>
      </c>
    </row>
    <row r="71" spans="1:19" ht="15.75" customHeight="1">
      <c r="A71" s="2"/>
      <c r="B71" s="59">
        <v>100</v>
      </c>
      <c r="C71" s="24" t="s">
        <v>157</v>
      </c>
      <c r="D71" s="60">
        <v>0.03</v>
      </c>
      <c r="E71" s="60">
        <v>0.04</v>
      </c>
      <c r="F71" s="60">
        <v>0.05</v>
      </c>
      <c r="G71" s="60">
        <v>0.06</v>
      </c>
      <c r="H71" s="327">
        <f>B71*(1+D71)</f>
        <v>103</v>
      </c>
      <c r="I71" s="327">
        <f t="shared" si="1"/>
        <v>107.12</v>
      </c>
      <c r="J71" s="327">
        <f t="shared" si="1"/>
        <v>112.47600000000001</v>
      </c>
      <c r="K71" s="327">
        <f t="shared" si="1"/>
        <v>119.22456000000003</v>
      </c>
      <c r="L71" s="2"/>
      <c r="M71" s="2"/>
      <c r="N71" s="2"/>
      <c r="O71" s="2"/>
      <c r="P71" s="2"/>
    </row>
    <row r="72" spans="1:19" ht="15.75" customHeight="1">
      <c r="A72" s="2"/>
      <c r="B72" s="59">
        <v>9000</v>
      </c>
      <c r="C72" s="2" t="s">
        <v>158</v>
      </c>
      <c r="D72" s="60">
        <v>0</v>
      </c>
      <c r="E72" s="60">
        <v>0</v>
      </c>
      <c r="F72" s="60">
        <v>0</v>
      </c>
      <c r="G72" s="60">
        <v>0</v>
      </c>
      <c r="H72" s="327">
        <f>B72*(1+D72)</f>
        <v>9000</v>
      </c>
      <c r="I72" s="327">
        <f t="shared" si="1"/>
        <v>9000</v>
      </c>
      <c r="J72" s="327">
        <f t="shared" si="1"/>
        <v>9000</v>
      </c>
      <c r="K72" s="327">
        <f t="shared" si="1"/>
        <v>9000</v>
      </c>
      <c r="L72" s="2"/>
      <c r="M72" s="2"/>
      <c r="N72" s="2"/>
      <c r="O72" s="2"/>
      <c r="P72" s="2"/>
    </row>
    <row r="73" spans="1:19" ht="15.75" customHeight="1">
      <c r="A73" s="2"/>
      <c r="B73" s="59"/>
      <c r="C73" s="283" t="s">
        <v>528</v>
      </c>
      <c r="D73" s="60">
        <v>0.15</v>
      </c>
      <c r="E73" s="60">
        <v>0.1</v>
      </c>
      <c r="F73" s="60">
        <v>0.05</v>
      </c>
      <c r="G73" s="60">
        <v>0.05</v>
      </c>
      <c r="H73" s="60"/>
      <c r="I73" s="60"/>
      <c r="J73" s="60"/>
      <c r="K73" s="60"/>
      <c r="L73" s="2"/>
      <c r="M73" s="2"/>
      <c r="N73" s="2"/>
      <c r="O73" s="2"/>
      <c r="P73" s="2"/>
    </row>
    <row r="74" spans="1:19" ht="15.75" customHeight="1">
      <c r="A74" s="2"/>
      <c r="B74" s="59"/>
      <c r="C74" s="283" t="s">
        <v>529</v>
      </c>
      <c r="D74" s="60">
        <v>0</v>
      </c>
      <c r="E74" s="60">
        <v>0.04</v>
      </c>
      <c r="F74" s="60">
        <v>0</v>
      </c>
      <c r="G74" s="60">
        <v>0.04</v>
      </c>
      <c r="H74" s="60"/>
      <c r="I74" s="60"/>
      <c r="J74" s="60"/>
      <c r="K74" s="60"/>
      <c r="L74" s="2"/>
      <c r="M74" s="2"/>
      <c r="N74" s="2"/>
      <c r="O74" s="2"/>
      <c r="P74" s="2"/>
    </row>
    <row r="75" spans="1:19" ht="15.75" customHeight="1">
      <c r="A75" s="2"/>
      <c r="B75" s="59"/>
      <c r="C75" s="283" t="s">
        <v>530</v>
      </c>
      <c r="D75" s="60">
        <v>0.02</v>
      </c>
      <c r="E75" s="60">
        <v>0.02</v>
      </c>
      <c r="F75" s="60">
        <v>0.02</v>
      </c>
      <c r="G75" s="60">
        <v>0.02</v>
      </c>
      <c r="H75" s="60"/>
      <c r="I75" s="60"/>
      <c r="J75" s="60"/>
      <c r="K75" s="60"/>
      <c r="L75" s="2"/>
      <c r="M75" s="2"/>
      <c r="N75" s="2"/>
      <c r="O75" s="2"/>
      <c r="P75" s="2"/>
    </row>
    <row r="76" spans="1:19" ht="15.75" customHeight="1">
      <c r="A76" s="2"/>
      <c r="B76" s="263">
        <v>1</v>
      </c>
      <c r="C76" s="24" t="s">
        <v>159</v>
      </c>
      <c r="D76" s="60"/>
      <c r="E76" s="60"/>
      <c r="F76" s="60"/>
      <c r="G76" s="60"/>
      <c r="H76" s="60"/>
      <c r="I76" s="60"/>
      <c r="J76" s="60"/>
      <c r="K76" s="60"/>
      <c r="L76" s="2"/>
      <c r="M76" s="2"/>
      <c r="N76" s="2"/>
      <c r="O76" s="2"/>
      <c r="P76" s="2"/>
    </row>
    <row r="77" spans="1:19" ht="15.75" customHeight="1">
      <c r="A77" s="2"/>
      <c r="B77" s="59">
        <v>1200</v>
      </c>
      <c r="C77" s="49" t="s">
        <v>160</v>
      </c>
      <c r="D77" s="60">
        <v>0.04</v>
      </c>
      <c r="E77" s="60">
        <v>0.04</v>
      </c>
      <c r="F77" s="60">
        <v>0.04</v>
      </c>
      <c r="G77" s="60">
        <v>0.04</v>
      </c>
      <c r="H77" s="327">
        <f t="shared" ref="H77:H85" si="2">B77*(1+D77)</f>
        <v>1248</v>
      </c>
      <c r="I77" s="327">
        <f t="shared" ref="I77:I85" si="3">H77*(1+E77)</f>
        <v>1297.92</v>
      </c>
      <c r="J77" s="327">
        <f t="shared" ref="J77:J86" si="4">I77*(1+F77)</f>
        <v>1349.8368</v>
      </c>
      <c r="K77" s="327">
        <f t="shared" ref="K77:K86" si="5">J77*(1+G77)</f>
        <v>1403.8302720000002</v>
      </c>
      <c r="L77" s="2"/>
      <c r="M77" s="2"/>
      <c r="N77" s="2"/>
      <c r="O77" s="2"/>
      <c r="P77" s="2"/>
    </row>
    <row r="78" spans="1:19" ht="15.75" customHeight="1">
      <c r="A78" s="2"/>
      <c r="B78" s="59">
        <v>250</v>
      </c>
      <c r="C78" s="67" t="s">
        <v>161</v>
      </c>
      <c r="D78" s="60">
        <v>0.03</v>
      </c>
      <c r="E78" s="60">
        <v>0.03</v>
      </c>
      <c r="F78" s="60">
        <v>0.03</v>
      </c>
      <c r="G78" s="60">
        <v>0.03</v>
      </c>
      <c r="H78" s="327">
        <f t="shared" si="2"/>
        <v>257.5</v>
      </c>
      <c r="I78" s="327">
        <f t="shared" si="3"/>
        <v>265.22500000000002</v>
      </c>
      <c r="J78" s="327">
        <f t="shared" si="4"/>
        <v>273.18175000000002</v>
      </c>
      <c r="K78" s="327">
        <f t="shared" si="5"/>
        <v>281.37720250000001</v>
      </c>
      <c r="L78" s="2"/>
      <c r="M78" s="24"/>
      <c r="N78" s="24"/>
      <c r="O78" s="2"/>
      <c r="P78" s="2"/>
      <c r="Q78" s="63"/>
    </row>
    <row r="79" spans="1:19" ht="15.75" customHeight="1">
      <c r="A79" s="2"/>
      <c r="B79" s="59">
        <v>750</v>
      </c>
      <c r="C79" s="67" t="s">
        <v>162</v>
      </c>
      <c r="D79" s="60">
        <v>0.04</v>
      </c>
      <c r="E79" s="60">
        <v>0.04</v>
      </c>
      <c r="F79" s="60">
        <v>0.04</v>
      </c>
      <c r="G79" s="60">
        <v>0.04</v>
      </c>
      <c r="H79" s="327">
        <f t="shared" si="2"/>
        <v>780</v>
      </c>
      <c r="I79" s="327">
        <f t="shared" si="3"/>
        <v>811.2</v>
      </c>
      <c r="J79" s="327">
        <f t="shared" si="4"/>
        <v>843.64800000000002</v>
      </c>
      <c r="K79" s="327">
        <f t="shared" si="5"/>
        <v>877.39392000000009</v>
      </c>
      <c r="L79" s="2"/>
      <c r="M79" s="24"/>
      <c r="N79" s="24"/>
      <c r="O79" s="2"/>
      <c r="P79" s="2"/>
      <c r="Q79" s="2"/>
    </row>
    <row r="80" spans="1:19" ht="15.75" customHeight="1">
      <c r="A80" s="2"/>
      <c r="B80" s="68">
        <v>200</v>
      </c>
      <c r="C80" s="69" t="s">
        <v>164</v>
      </c>
      <c r="D80" s="60">
        <v>0.02</v>
      </c>
      <c r="E80" s="60">
        <v>0.02</v>
      </c>
      <c r="F80" s="60">
        <v>0.02</v>
      </c>
      <c r="G80" s="60">
        <v>0.02</v>
      </c>
      <c r="H80" s="327">
        <f t="shared" si="2"/>
        <v>204</v>
      </c>
      <c r="I80" s="327">
        <f t="shared" si="3"/>
        <v>208.08</v>
      </c>
      <c r="J80" s="327">
        <f t="shared" si="4"/>
        <v>212.24160000000001</v>
      </c>
      <c r="K80" s="327">
        <f t="shared" si="5"/>
        <v>216.48643200000001</v>
      </c>
      <c r="L80" s="2"/>
      <c r="M80" s="24"/>
      <c r="N80" s="24"/>
      <c r="O80" s="2"/>
      <c r="P80" s="2"/>
    </row>
    <row r="81" spans="1:16" ht="15.75" customHeight="1">
      <c r="A81" s="2"/>
      <c r="B81" s="59">
        <v>1250</v>
      </c>
      <c r="C81" s="21" t="s">
        <v>56</v>
      </c>
      <c r="D81" s="60">
        <v>0.02</v>
      </c>
      <c r="E81" s="60">
        <v>0.02</v>
      </c>
      <c r="F81" s="60">
        <v>0.02</v>
      </c>
      <c r="G81" s="60">
        <v>0.02</v>
      </c>
      <c r="H81" s="327">
        <f t="shared" si="2"/>
        <v>1275</v>
      </c>
      <c r="I81" s="327">
        <f t="shared" si="3"/>
        <v>1300.5</v>
      </c>
      <c r="J81" s="327">
        <f t="shared" si="4"/>
        <v>1326.51</v>
      </c>
      <c r="K81" s="327">
        <f t="shared" si="5"/>
        <v>1353.0401999999999</v>
      </c>
      <c r="L81" s="2"/>
      <c r="M81" s="24"/>
      <c r="N81" s="24"/>
      <c r="O81" s="2"/>
      <c r="P81" s="2"/>
    </row>
    <row r="82" spans="1:16" ht="15.75" customHeight="1">
      <c r="A82" s="2"/>
      <c r="B82" s="59">
        <v>200</v>
      </c>
      <c r="C82" s="21" t="s">
        <v>57</v>
      </c>
      <c r="D82" s="60">
        <v>0.05</v>
      </c>
      <c r="E82" s="60">
        <v>0.05</v>
      </c>
      <c r="F82" s="60">
        <v>0.05</v>
      </c>
      <c r="G82" s="60">
        <v>0.05</v>
      </c>
      <c r="H82" s="327">
        <f t="shared" si="2"/>
        <v>210</v>
      </c>
      <c r="I82" s="327">
        <f t="shared" si="3"/>
        <v>220.5</v>
      </c>
      <c r="J82" s="327">
        <f t="shared" si="4"/>
        <v>231.52500000000001</v>
      </c>
      <c r="K82" s="327">
        <f t="shared" si="5"/>
        <v>243.10125000000002</v>
      </c>
      <c r="L82" s="2"/>
      <c r="M82" s="24"/>
      <c r="N82" s="24"/>
      <c r="O82" s="2"/>
      <c r="P82" s="2"/>
    </row>
    <row r="83" spans="1:16" ht="15.75" customHeight="1">
      <c r="A83" s="2"/>
      <c r="B83" s="59">
        <v>550</v>
      </c>
      <c r="C83" s="2" t="s">
        <v>165</v>
      </c>
      <c r="D83" s="60">
        <v>0.1</v>
      </c>
      <c r="E83" s="60">
        <v>7.4999999999999997E-2</v>
      </c>
      <c r="F83" s="60">
        <v>0.05</v>
      </c>
      <c r="G83" s="60">
        <v>2.5000000000000001E-2</v>
      </c>
      <c r="H83" s="327">
        <f t="shared" si="2"/>
        <v>605</v>
      </c>
      <c r="I83" s="327">
        <f t="shared" si="3"/>
        <v>650.375</v>
      </c>
      <c r="J83" s="327">
        <f t="shared" si="4"/>
        <v>682.89375000000007</v>
      </c>
      <c r="K83" s="327">
        <f t="shared" si="5"/>
        <v>699.96609375000003</v>
      </c>
      <c r="L83" s="2"/>
      <c r="M83" s="24" t="s">
        <v>662</v>
      </c>
      <c r="N83" s="24"/>
      <c r="O83" s="2"/>
      <c r="P83" s="2"/>
    </row>
    <row r="84" spans="1:16" ht="15.75" customHeight="1">
      <c r="A84" s="2"/>
      <c r="B84" s="59">
        <v>100</v>
      </c>
      <c r="C84" s="2" t="s">
        <v>166</v>
      </c>
      <c r="D84" s="60">
        <v>0.05</v>
      </c>
      <c r="E84" s="60">
        <v>0.05</v>
      </c>
      <c r="F84" s="60">
        <v>0.05</v>
      </c>
      <c r="G84" s="60">
        <v>0.05</v>
      </c>
      <c r="H84" s="327">
        <f t="shared" si="2"/>
        <v>105</v>
      </c>
      <c r="I84" s="327">
        <f t="shared" si="3"/>
        <v>110.25</v>
      </c>
      <c r="J84" s="327">
        <f t="shared" si="4"/>
        <v>115.7625</v>
      </c>
      <c r="K84" s="327">
        <f t="shared" si="5"/>
        <v>121.55062500000001</v>
      </c>
      <c r="L84" s="2"/>
      <c r="M84" s="24"/>
      <c r="N84" s="24"/>
      <c r="O84" s="2"/>
      <c r="P84" s="2"/>
    </row>
    <row r="85" spans="1:16" ht="15.75" customHeight="1">
      <c r="A85" s="2"/>
      <c r="B85" s="59">
        <v>100</v>
      </c>
      <c r="C85" s="2" t="s">
        <v>61</v>
      </c>
      <c r="D85" s="60">
        <v>0.05</v>
      </c>
      <c r="E85" s="60">
        <v>0.05</v>
      </c>
      <c r="F85" s="60">
        <v>0.05</v>
      </c>
      <c r="G85" s="60">
        <v>0.05</v>
      </c>
      <c r="H85" s="327">
        <f t="shared" si="2"/>
        <v>105</v>
      </c>
      <c r="I85" s="327">
        <f t="shared" si="3"/>
        <v>110.25</v>
      </c>
      <c r="J85" s="327">
        <f t="shared" si="4"/>
        <v>115.7625</v>
      </c>
      <c r="K85" s="327">
        <f t="shared" si="5"/>
        <v>121.55062500000001</v>
      </c>
      <c r="L85" s="2"/>
      <c r="M85" s="24" t="s">
        <v>469</v>
      </c>
      <c r="N85" s="24"/>
      <c r="O85" s="2"/>
      <c r="P85" s="2"/>
    </row>
    <row r="86" spans="1:16" ht="15.75" customHeight="1">
      <c r="A86" s="2"/>
      <c r="B86" s="59">
        <v>500</v>
      </c>
      <c r="C86" s="21" t="s">
        <v>62</v>
      </c>
      <c r="D86" s="60">
        <v>0.05</v>
      </c>
      <c r="E86" s="60">
        <v>0.1</v>
      </c>
      <c r="F86" s="60">
        <v>0.125</v>
      </c>
      <c r="G86" s="60">
        <v>0.15</v>
      </c>
      <c r="H86" s="327">
        <f>B86*(1+D86)</f>
        <v>525</v>
      </c>
      <c r="I86" s="327">
        <f>H86*(1+E86)</f>
        <v>577.5</v>
      </c>
      <c r="J86" s="327">
        <f t="shared" si="4"/>
        <v>649.6875</v>
      </c>
      <c r="K86" s="327">
        <f t="shared" si="5"/>
        <v>747.14062499999989</v>
      </c>
      <c r="L86" s="2"/>
      <c r="M86" s="21"/>
      <c r="N86" s="2"/>
      <c r="O86" s="2"/>
      <c r="P86" s="2"/>
    </row>
    <row r="87" spans="1:16" ht="30" customHeight="1">
      <c r="A87" s="2"/>
      <c r="B87" s="60">
        <v>0</v>
      </c>
      <c r="C87" s="70" t="s">
        <v>167</v>
      </c>
      <c r="D87" s="60"/>
      <c r="E87" s="60"/>
      <c r="F87" s="2"/>
      <c r="G87" s="2"/>
      <c r="H87" s="2"/>
      <c r="I87" s="2"/>
      <c r="J87" s="2"/>
      <c r="K87" s="2"/>
      <c r="L87" s="2"/>
      <c r="M87" s="21"/>
      <c r="N87" s="2"/>
      <c r="O87" s="2"/>
      <c r="P87" s="2"/>
    </row>
    <row r="88" spans="1:16" ht="15.75" customHeight="1">
      <c r="A88" s="2"/>
      <c r="B88" s="59">
        <v>200</v>
      </c>
      <c r="C88" s="24" t="s">
        <v>168</v>
      </c>
      <c r="D88" s="60">
        <v>0.05</v>
      </c>
      <c r="E88" s="60">
        <v>0.05</v>
      </c>
      <c r="F88" s="60">
        <v>0.05</v>
      </c>
      <c r="G88" s="60">
        <v>0.05</v>
      </c>
      <c r="H88" s="327">
        <f>B88*(1+D88)</f>
        <v>210</v>
      </c>
      <c r="I88" s="327">
        <f t="shared" ref="I88:K92" si="6">H88*(1+E88)</f>
        <v>220.5</v>
      </c>
      <c r="J88" s="327">
        <f t="shared" si="6"/>
        <v>231.52500000000001</v>
      </c>
      <c r="K88" s="327">
        <f t="shared" si="6"/>
        <v>243.10125000000002</v>
      </c>
      <c r="L88" s="2"/>
      <c r="M88" s="21"/>
      <c r="N88" s="24"/>
      <c r="O88" s="2"/>
      <c r="P88" s="2"/>
    </row>
    <row r="89" spans="1:16" ht="15.75" customHeight="1">
      <c r="A89" s="2"/>
      <c r="B89" s="59">
        <v>400</v>
      </c>
      <c r="C89" s="2" t="s">
        <v>119</v>
      </c>
      <c r="D89" s="60">
        <v>0.05</v>
      </c>
      <c r="E89" s="60">
        <v>0.04</v>
      </c>
      <c r="F89" s="60">
        <v>2.5000000000000001E-2</v>
      </c>
      <c r="G89" s="60">
        <v>0.02</v>
      </c>
      <c r="H89" s="327">
        <f>B89*(1+D89)</f>
        <v>420</v>
      </c>
      <c r="I89" s="327">
        <f t="shared" si="6"/>
        <v>436.8</v>
      </c>
      <c r="J89" s="327">
        <f t="shared" si="6"/>
        <v>447.71999999999997</v>
      </c>
      <c r="K89" s="327">
        <f t="shared" si="6"/>
        <v>456.67439999999999</v>
      </c>
      <c r="L89" s="2"/>
      <c r="M89" s="21"/>
      <c r="N89" s="24"/>
      <c r="O89" s="2"/>
      <c r="P89" s="2"/>
    </row>
    <row r="90" spans="1:16" ht="15.75" customHeight="1">
      <c r="A90" s="2"/>
      <c r="B90" s="59">
        <v>100</v>
      </c>
      <c r="C90" s="2" t="s">
        <v>169</v>
      </c>
      <c r="D90" s="60">
        <v>0.08</v>
      </c>
      <c r="E90" s="60">
        <v>0.05</v>
      </c>
      <c r="F90" s="60">
        <v>2.5000000000000001E-2</v>
      </c>
      <c r="G90" s="60">
        <v>0.02</v>
      </c>
      <c r="H90" s="327">
        <f>B90*(1+D90)</f>
        <v>108</v>
      </c>
      <c r="I90" s="327">
        <f t="shared" si="6"/>
        <v>113.4</v>
      </c>
      <c r="J90" s="327">
        <f t="shared" si="6"/>
        <v>116.235</v>
      </c>
      <c r="K90" s="327">
        <f t="shared" si="6"/>
        <v>118.55970000000001</v>
      </c>
      <c r="L90" s="2"/>
      <c r="M90" s="21"/>
      <c r="N90" s="24"/>
      <c r="O90" s="2"/>
      <c r="P90" s="2"/>
    </row>
    <row r="91" spans="1:16" ht="15.75" customHeight="1">
      <c r="A91" s="2"/>
      <c r="B91" s="59">
        <v>0</v>
      </c>
      <c r="C91" s="2" t="s">
        <v>170</v>
      </c>
      <c r="D91" s="60"/>
      <c r="E91" s="60"/>
      <c r="F91" s="60"/>
      <c r="G91" s="60"/>
      <c r="H91" s="327">
        <f>B91*(1+D91)</f>
        <v>0</v>
      </c>
      <c r="I91" s="327">
        <f t="shared" si="6"/>
        <v>0</v>
      </c>
      <c r="J91" s="327">
        <f t="shared" si="6"/>
        <v>0</v>
      </c>
      <c r="K91" s="327">
        <f t="shared" si="6"/>
        <v>0</v>
      </c>
      <c r="L91" s="2"/>
      <c r="M91" s="21"/>
      <c r="N91" s="2"/>
      <c r="O91" s="2"/>
      <c r="P91" s="2"/>
    </row>
    <row r="92" spans="1:16" ht="15.75" customHeight="1">
      <c r="A92" s="2"/>
      <c r="B92" s="59">
        <v>400</v>
      </c>
      <c r="C92" s="2" t="s">
        <v>171</v>
      </c>
      <c r="D92" s="60">
        <v>0.05</v>
      </c>
      <c r="E92" s="60">
        <v>0.04</v>
      </c>
      <c r="F92" s="60">
        <v>0.03</v>
      </c>
      <c r="G92" s="60">
        <v>0.02</v>
      </c>
      <c r="H92" s="327">
        <f>B92*(1+D92)</f>
        <v>420</v>
      </c>
      <c r="I92" s="327">
        <f t="shared" si="6"/>
        <v>436.8</v>
      </c>
      <c r="J92" s="327">
        <f t="shared" si="6"/>
        <v>449.904</v>
      </c>
      <c r="K92" s="327">
        <f t="shared" si="6"/>
        <v>458.90208000000001</v>
      </c>
      <c r="L92" s="2"/>
      <c r="M92" s="21"/>
      <c r="N92" s="2"/>
      <c r="O92" s="2"/>
      <c r="P92" s="2"/>
    </row>
    <row r="93" spans="1:16" ht="15.75" customHeight="1">
      <c r="A93" s="2"/>
      <c r="B93" s="2"/>
      <c r="C93" s="2"/>
      <c r="D93" s="2"/>
      <c r="E93" s="2"/>
      <c r="L93" s="2"/>
      <c r="M93" s="21"/>
      <c r="N93" s="2"/>
      <c r="O93" s="2"/>
      <c r="P93" s="2"/>
    </row>
    <row r="94" spans="1:16" ht="15.75" customHeight="1">
      <c r="A94" s="2"/>
      <c r="B94" s="2"/>
      <c r="C94" s="2"/>
      <c r="D94" s="2"/>
      <c r="E94" s="2"/>
      <c r="L94" s="2"/>
      <c r="M94" s="2"/>
      <c r="N94" s="2"/>
      <c r="O94" s="2"/>
      <c r="P94" s="2"/>
    </row>
    <row r="95" spans="1:16" ht="15.75" customHeight="1">
      <c r="A95" s="2"/>
      <c r="B95" s="2"/>
      <c r="C95" s="2"/>
      <c r="D95" s="2"/>
      <c r="E95" s="2"/>
      <c r="L95" s="2"/>
      <c r="M95" s="2"/>
      <c r="N95" s="2"/>
      <c r="O95" s="2"/>
      <c r="P95" s="2"/>
    </row>
    <row r="96" spans="1:16" ht="15.75" customHeight="1">
      <c r="A96" s="2"/>
      <c r="B96" s="2"/>
      <c r="C96" s="71"/>
      <c r="D96" s="2"/>
      <c r="E96" s="2"/>
      <c r="L96" s="2"/>
      <c r="M96" s="2"/>
      <c r="N96" s="2"/>
      <c r="O96" s="2"/>
      <c r="P96" s="2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sheetProtection sheet="1"/>
  <protectedRanges>
    <protectedRange sqref="B12:B15 B18:B21 B24:B31 B34:B38 B39:B41 B44:B46 B64:B92 R64:R68 R69:R70" name="Range1"/>
    <protectedRange sqref="D64:G64" name="Range1_2"/>
    <protectedRange sqref="D66:G92" name="Range1_2_1"/>
  </protectedRanges>
  <mergeCells count="1">
    <mergeCell ref="D62:G62"/>
  </mergeCells>
  <dataValidations count="2">
    <dataValidation type="list" allowBlank="1" showErrorMessage="1" sqref="B44" xr:uid="{00000000-0002-0000-0400-000000000000}">
      <formula1>Yes_No</formula1>
    </dataValidation>
    <dataValidation type="list" allowBlank="1" showErrorMessage="1" sqref="B13 B15 B19 B21 B25 B27 B29 B31 B36 B40 B46 B76" xr:uid="{00000000-0002-0000-0400-000001000000}">
      <formula1>No_Mos</formula1>
    </dataValidation>
  </dataValidations>
  <hyperlinks>
    <hyperlink ref="Q64" r:id="rId1" xr:uid="{00000000-0004-0000-0400-000000000000}"/>
    <hyperlink ref="Q65" r:id="rId2" xr:uid="{00000000-0004-0000-0400-000001000000}"/>
    <hyperlink ref="D48" r:id="rId3" xr:uid="{D6FB0DEC-8B85-4FAD-A8DE-FAAE98107E7B}"/>
    <hyperlink ref="D50" r:id="rId4" xr:uid="{007E1C9F-6E4F-4727-BF04-E62F21D0EFB8}"/>
    <hyperlink ref="C54" r:id="rId5" xr:uid="{5163DD1F-CCD6-4E73-9953-5A31BA040A16}"/>
    <hyperlink ref="Q66" r:id="rId6" location="sunday" xr:uid="{4D5E442A-B7FF-49DF-8332-9B25B12AE5E4}"/>
    <hyperlink ref="Q67" r:id="rId7" xr:uid="{5396947C-3312-4735-9F20-A7FE06453D72}"/>
    <hyperlink ref="Q68:Q70" r:id="rId8" display="W'burg liquor Sunday sales" xr:uid="{BA305E28-9946-4E93-8A70-EFFB0D38116B}"/>
  </hyperlinks>
  <pageMargins left="0.7" right="0.7" top="0.75" bottom="0.75" header="0" footer="0"/>
  <pageSetup orientation="landscape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BF79-519D-4C9A-BCB5-DF19CF30B4E9}">
  <dimension ref="A1:N50"/>
  <sheetViews>
    <sheetView zoomScaleNormal="100" workbookViewId="0">
      <selection activeCell="I14" sqref="I14"/>
    </sheetView>
  </sheetViews>
  <sheetFormatPr defaultRowHeight="14.5"/>
  <cols>
    <col min="1" max="1" width="15.453125" customWidth="1"/>
    <col min="2" max="2" width="12.26953125" bestFit="1" customWidth="1"/>
    <col min="3" max="3" width="12" bestFit="1" customWidth="1"/>
    <col min="4" max="4" width="12.26953125" bestFit="1" customWidth="1"/>
    <col min="5" max="13" width="12" bestFit="1" customWidth="1"/>
  </cols>
  <sheetData>
    <row r="1" spans="1:9">
      <c r="A1" t="s">
        <v>486</v>
      </c>
    </row>
    <row r="3" spans="1:9">
      <c r="B3" t="s">
        <v>471</v>
      </c>
      <c r="C3" s="265">
        <v>100</v>
      </c>
    </row>
    <row r="5" spans="1:9">
      <c r="B5" t="s">
        <v>472</v>
      </c>
      <c r="C5" t="s">
        <v>473</v>
      </c>
      <c r="D5" t="s">
        <v>474</v>
      </c>
      <c r="E5" t="s">
        <v>475</v>
      </c>
      <c r="F5" t="s">
        <v>476</v>
      </c>
      <c r="G5" t="s">
        <v>477</v>
      </c>
      <c r="H5" t="s">
        <v>478</v>
      </c>
      <c r="I5" s="268" t="s">
        <v>220</v>
      </c>
    </row>
    <row r="6" spans="1:9">
      <c r="A6" t="s">
        <v>481</v>
      </c>
      <c r="B6" s="265">
        <v>0.4</v>
      </c>
      <c r="C6" s="265">
        <v>0.5</v>
      </c>
      <c r="D6" s="265">
        <v>0.6</v>
      </c>
      <c r="E6" s="265">
        <v>0.7</v>
      </c>
      <c r="F6" s="265">
        <v>1.5</v>
      </c>
      <c r="G6" s="265">
        <v>1.7</v>
      </c>
      <c r="H6" s="265">
        <v>1</v>
      </c>
    </row>
    <row r="7" spans="1:9">
      <c r="A7" t="s">
        <v>482</v>
      </c>
      <c r="B7">
        <f t="shared" ref="B7:H7" si="0">$C$3*B6</f>
        <v>40</v>
      </c>
      <c r="C7">
        <f t="shared" si="0"/>
        <v>50</v>
      </c>
      <c r="D7">
        <f t="shared" si="0"/>
        <v>60</v>
      </c>
      <c r="E7">
        <f t="shared" si="0"/>
        <v>70</v>
      </c>
      <c r="F7">
        <f t="shared" si="0"/>
        <v>150</v>
      </c>
      <c r="G7">
        <f t="shared" si="0"/>
        <v>170</v>
      </c>
      <c r="H7">
        <f t="shared" si="0"/>
        <v>100</v>
      </c>
      <c r="I7">
        <f>SUM(B7:H7)</f>
        <v>640</v>
      </c>
    </row>
    <row r="8" spans="1:9">
      <c r="A8" t="s">
        <v>480</v>
      </c>
      <c r="B8" s="265">
        <v>1.5</v>
      </c>
      <c r="C8" s="265">
        <v>1.5</v>
      </c>
      <c r="D8" s="265">
        <v>1.5</v>
      </c>
      <c r="E8" s="265">
        <v>2</v>
      </c>
      <c r="F8" s="265">
        <v>2.5</v>
      </c>
      <c r="G8" s="265">
        <v>2.8</v>
      </c>
      <c r="H8" s="265">
        <v>2</v>
      </c>
    </row>
    <row r="9" spans="1:9">
      <c r="A9" t="s">
        <v>479</v>
      </c>
      <c r="B9">
        <f t="shared" ref="B9:H9" si="1">B7*B8</f>
        <v>60</v>
      </c>
      <c r="C9">
        <f t="shared" si="1"/>
        <v>75</v>
      </c>
      <c r="D9">
        <f t="shared" si="1"/>
        <v>90</v>
      </c>
      <c r="E9">
        <f t="shared" si="1"/>
        <v>140</v>
      </c>
      <c r="F9">
        <f t="shared" si="1"/>
        <v>375</v>
      </c>
      <c r="G9">
        <f t="shared" si="1"/>
        <v>475.99999999999994</v>
      </c>
      <c r="H9">
        <f t="shared" si="1"/>
        <v>200</v>
      </c>
      <c r="I9">
        <f>SUM(B9:H9)</f>
        <v>1416</v>
      </c>
    </row>
    <row r="10" spans="1:9">
      <c r="A10" t="s">
        <v>483</v>
      </c>
      <c r="B10" s="266">
        <v>0.06</v>
      </c>
      <c r="C10" s="266">
        <v>0.06</v>
      </c>
      <c r="D10" s="266">
        <v>0.06</v>
      </c>
      <c r="E10" s="266">
        <v>7.0000000000000007E-2</v>
      </c>
      <c r="F10" s="266">
        <v>0.12</v>
      </c>
      <c r="G10" s="266">
        <v>0.15</v>
      </c>
      <c r="H10" s="266">
        <v>0.1</v>
      </c>
    </row>
    <row r="11" spans="1:9">
      <c r="A11" t="s">
        <v>484</v>
      </c>
      <c r="B11">
        <f>B9*B10</f>
        <v>3.5999999999999996</v>
      </c>
      <c r="C11">
        <f t="shared" ref="C11:H11" si="2">C9*C10</f>
        <v>4.5</v>
      </c>
      <c r="D11">
        <f t="shared" si="2"/>
        <v>5.3999999999999995</v>
      </c>
      <c r="E11">
        <f t="shared" si="2"/>
        <v>9.8000000000000007</v>
      </c>
      <c r="F11">
        <f t="shared" si="2"/>
        <v>45</v>
      </c>
      <c r="G11">
        <f t="shared" si="2"/>
        <v>71.399999999999991</v>
      </c>
      <c r="H11">
        <f t="shared" si="2"/>
        <v>20</v>
      </c>
      <c r="I11">
        <f>SUM(B11:H11)</f>
        <v>159.69999999999999</v>
      </c>
    </row>
    <row r="12" spans="1:9">
      <c r="A12" t="s">
        <v>485</v>
      </c>
      <c r="B12">
        <f>B9-B11</f>
        <v>56.4</v>
      </c>
      <c r="C12">
        <f t="shared" ref="C12:H12" si="3">C9-C11</f>
        <v>70.5</v>
      </c>
      <c r="D12">
        <f t="shared" si="3"/>
        <v>84.6</v>
      </c>
      <c r="E12">
        <f t="shared" si="3"/>
        <v>130.19999999999999</v>
      </c>
      <c r="F12">
        <f t="shared" si="3"/>
        <v>330</v>
      </c>
      <c r="G12">
        <f t="shared" si="3"/>
        <v>404.59999999999997</v>
      </c>
      <c r="H12">
        <f t="shared" si="3"/>
        <v>180</v>
      </c>
      <c r="I12">
        <f>SUM(B12:H12)</f>
        <v>1256.3</v>
      </c>
    </row>
    <row r="13" spans="1:9">
      <c r="A13" s="268" t="s">
        <v>501</v>
      </c>
      <c r="B13" s="270">
        <v>3</v>
      </c>
      <c r="C13" s="270">
        <v>3</v>
      </c>
      <c r="D13" s="270">
        <v>3</v>
      </c>
      <c r="E13" s="270">
        <v>4</v>
      </c>
      <c r="F13" s="270">
        <v>5</v>
      </c>
      <c r="G13" s="270">
        <v>5</v>
      </c>
      <c r="H13" s="270">
        <v>4</v>
      </c>
    </row>
    <row r="14" spans="1:9">
      <c r="A14" s="268" t="s">
        <v>503</v>
      </c>
      <c r="B14" s="269">
        <f>B7*B13</f>
        <v>120</v>
      </c>
      <c r="C14" s="269">
        <f t="shared" ref="C14:H14" si="4">C7*C13</f>
        <v>150</v>
      </c>
      <c r="D14" s="269">
        <f t="shared" si="4"/>
        <v>180</v>
      </c>
      <c r="E14" s="269">
        <f t="shared" si="4"/>
        <v>280</v>
      </c>
      <c r="F14" s="269">
        <f t="shared" si="4"/>
        <v>750</v>
      </c>
      <c r="G14" s="269">
        <f t="shared" si="4"/>
        <v>850</v>
      </c>
      <c r="H14" s="269">
        <f t="shared" si="4"/>
        <v>400</v>
      </c>
      <c r="I14" s="256">
        <f>SUM(B14:H14)</f>
        <v>2730</v>
      </c>
    </row>
    <row r="15" spans="1:9">
      <c r="A15" s="268" t="s">
        <v>512</v>
      </c>
      <c r="B15" s="265">
        <v>0.05</v>
      </c>
      <c r="C15" s="265">
        <v>0.05</v>
      </c>
      <c r="D15" s="265">
        <v>0.05</v>
      </c>
      <c r="E15" s="265">
        <v>0.05</v>
      </c>
      <c r="F15" s="265">
        <v>0.05</v>
      </c>
      <c r="G15" s="265">
        <v>0.05</v>
      </c>
      <c r="H15" s="265">
        <v>0.05</v>
      </c>
      <c r="I15" s="256"/>
    </row>
    <row r="16" spans="1:9">
      <c r="A16" s="268" t="s">
        <v>513</v>
      </c>
      <c r="B16">
        <f>B7*B15</f>
        <v>2</v>
      </c>
      <c r="C16">
        <f t="shared" ref="C16:H16" si="5">C7*C15</f>
        <v>2.5</v>
      </c>
      <c r="D16">
        <f t="shared" si="5"/>
        <v>3</v>
      </c>
      <c r="E16">
        <f t="shared" si="5"/>
        <v>3.5</v>
      </c>
      <c r="F16">
        <f t="shared" si="5"/>
        <v>7.5</v>
      </c>
      <c r="G16">
        <f t="shared" si="5"/>
        <v>8.5</v>
      </c>
      <c r="H16">
        <f t="shared" si="5"/>
        <v>5</v>
      </c>
      <c r="I16">
        <f>SUM(B16:H16)</f>
        <v>32</v>
      </c>
    </row>
    <row r="18" spans="1:14">
      <c r="A18" t="s">
        <v>487</v>
      </c>
    </row>
    <row r="19" spans="1:14">
      <c r="A19" s="268" t="s">
        <v>309</v>
      </c>
      <c r="B19" t="s">
        <v>488</v>
      </c>
      <c r="C19" t="s">
        <v>489</v>
      </c>
      <c r="D19" t="s">
        <v>490</v>
      </c>
      <c r="E19" t="s">
        <v>491</v>
      </c>
      <c r="F19" t="s">
        <v>107</v>
      </c>
      <c r="G19" t="s">
        <v>492</v>
      </c>
      <c r="H19" t="s">
        <v>493</v>
      </c>
      <c r="I19" t="s">
        <v>494</v>
      </c>
      <c r="J19" t="s">
        <v>495</v>
      </c>
      <c r="K19" t="s">
        <v>496</v>
      </c>
      <c r="L19" t="s">
        <v>497</v>
      </c>
      <c r="M19" t="s">
        <v>498</v>
      </c>
    </row>
    <row r="20" spans="1:14">
      <c r="A20" s="268" t="s">
        <v>500</v>
      </c>
      <c r="B20" s="265">
        <v>0.6</v>
      </c>
      <c r="C20" s="265">
        <v>0.7</v>
      </c>
      <c r="D20" s="265">
        <v>0.9</v>
      </c>
      <c r="E20" s="265">
        <v>1.1000000000000001</v>
      </c>
      <c r="F20" s="265">
        <v>1.2</v>
      </c>
      <c r="G20" s="265">
        <v>1.1000000000000001</v>
      </c>
      <c r="H20" s="265">
        <v>1</v>
      </c>
      <c r="I20" s="265">
        <v>1.25</v>
      </c>
      <c r="J20" s="265">
        <v>1.25</v>
      </c>
      <c r="K20" s="265">
        <v>1.2</v>
      </c>
      <c r="L20" s="265">
        <v>0.9</v>
      </c>
      <c r="M20" s="265">
        <v>0.8</v>
      </c>
      <c r="N20" s="363">
        <f>AVERAGE(B20:M20)</f>
        <v>1</v>
      </c>
    </row>
    <row r="21" spans="1:14">
      <c r="A21" s="268" t="s">
        <v>368</v>
      </c>
      <c r="B21">
        <v>31</v>
      </c>
      <c r="C21">
        <v>28.25</v>
      </c>
      <c r="D21">
        <v>31</v>
      </c>
      <c r="E21">
        <v>30</v>
      </c>
      <c r="F21">
        <v>31</v>
      </c>
      <c r="G21">
        <v>30</v>
      </c>
      <c r="H21">
        <v>31</v>
      </c>
      <c r="I21">
        <v>31</v>
      </c>
      <c r="J21">
        <v>30</v>
      </c>
      <c r="K21">
        <v>31</v>
      </c>
      <c r="L21">
        <v>30</v>
      </c>
      <c r="M21">
        <v>31</v>
      </c>
    </row>
    <row r="22" spans="1:14">
      <c r="A22" s="268" t="s">
        <v>499</v>
      </c>
      <c r="B22" s="267">
        <f>B21/7</f>
        <v>4.4285714285714288</v>
      </c>
      <c r="C22" s="267">
        <f t="shared" ref="C22:M22" si="6">C21/7</f>
        <v>4.0357142857142856</v>
      </c>
      <c r="D22" s="267">
        <f t="shared" si="6"/>
        <v>4.4285714285714288</v>
      </c>
      <c r="E22" s="267">
        <f t="shared" si="6"/>
        <v>4.2857142857142856</v>
      </c>
      <c r="F22" s="267">
        <f t="shared" si="6"/>
        <v>4.4285714285714288</v>
      </c>
      <c r="G22" s="267">
        <f t="shared" si="6"/>
        <v>4.2857142857142856</v>
      </c>
      <c r="H22" s="267">
        <f t="shared" si="6"/>
        <v>4.4285714285714288</v>
      </c>
      <c r="I22" s="267">
        <f t="shared" si="6"/>
        <v>4.4285714285714288</v>
      </c>
      <c r="J22" s="267">
        <f t="shared" si="6"/>
        <v>4.2857142857142856</v>
      </c>
      <c r="K22" s="267">
        <f t="shared" si="6"/>
        <v>4.4285714285714288</v>
      </c>
      <c r="L22" s="267">
        <f t="shared" si="6"/>
        <v>4.2857142857142856</v>
      </c>
      <c r="M22" s="267">
        <f t="shared" si="6"/>
        <v>4.4285714285714288</v>
      </c>
    </row>
    <row r="23" spans="1:14">
      <c r="A23" s="268" t="s">
        <v>484</v>
      </c>
      <c r="B23" s="271">
        <f>$I$11*B22*B20</f>
        <v>424.34571428571428</v>
      </c>
      <c r="C23" s="271">
        <f t="shared" ref="C23:M23" si="7">$I$11*C22*C20</f>
        <v>451.15249999999992</v>
      </c>
      <c r="D23" s="271">
        <f t="shared" si="7"/>
        <v>636.51857142857148</v>
      </c>
      <c r="E23" s="271">
        <f t="shared" si="7"/>
        <v>752.87142857142851</v>
      </c>
      <c r="F23" s="271">
        <f t="shared" si="7"/>
        <v>848.69142857142856</v>
      </c>
      <c r="G23" s="271">
        <f t="shared" si="7"/>
        <v>752.87142857142851</v>
      </c>
      <c r="H23" s="271">
        <f t="shared" si="7"/>
        <v>707.24285714285713</v>
      </c>
      <c r="I23" s="271">
        <f t="shared" si="7"/>
        <v>884.05357142857144</v>
      </c>
      <c r="J23" s="271">
        <f t="shared" si="7"/>
        <v>855.53571428571422</v>
      </c>
      <c r="K23" s="271">
        <f t="shared" si="7"/>
        <v>848.69142857142856</v>
      </c>
      <c r="L23" s="271">
        <f t="shared" si="7"/>
        <v>615.98571428571427</v>
      </c>
      <c r="M23" s="271">
        <f t="shared" si="7"/>
        <v>565.79428571428571</v>
      </c>
    </row>
    <row r="24" spans="1:14">
      <c r="A24" s="268" t="s">
        <v>485</v>
      </c>
      <c r="B24" s="271">
        <f>$I$12*B22*B20</f>
        <v>3338.1685714285713</v>
      </c>
      <c r="C24" s="271">
        <f t="shared" ref="C24:M24" si="8">$I$12*C22*C20</f>
        <v>3549.0474999999997</v>
      </c>
      <c r="D24" s="271">
        <f t="shared" si="8"/>
        <v>5007.2528571428575</v>
      </c>
      <c r="E24" s="271">
        <f t="shared" si="8"/>
        <v>5922.5571428571429</v>
      </c>
      <c r="F24" s="271">
        <f t="shared" si="8"/>
        <v>6676.3371428571427</v>
      </c>
      <c r="G24" s="271">
        <f t="shared" si="8"/>
        <v>5922.5571428571429</v>
      </c>
      <c r="H24" s="271">
        <f t="shared" si="8"/>
        <v>5563.6142857142859</v>
      </c>
      <c r="I24" s="271">
        <f t="shared" si="8"/>
        <v>6954.5178571428569</v>
      </c>
      <c r="J24" s="271">
        <f t="shared" si="8"/>
        <v>6730.1785714285706</v>
      </c>
      <c r="K24" s="271">
        <f t="shared" si="8"/>
        <v>6676.3371428571427</v>
      </c>
      <c r="L24" s="271">
        <f t="shared" si="8"/>
        <v>4845.7285714285717</v>
      </c>
      <c r="M24" s="271">
        <f t="shared" si="8"/>
        <v>4450.8914285714291</v>
      </c>
    </row>
    <row r="25" spans="1:14">
      <c r="A25" s="268" t="s">
        <v>502</v>
      </c>
      <c r="B25" s="256">
        <f>$I$14*B22*B20</f>
        <v>7254</v>
      </c>
      <c r="C25" s="256">
        <f t="shared" ref="C25:M25" si="9">$I$14*C22*C20</f>
        <v>7712.2499999999991</v>
      </c>
      <c r="D25" s="256">
        <f t="shared" si="9"/>
        <v>10881</v>
      </c>
      <c r="E25" s="256">
        <f t="shared" si="9"/>
        <v>12870.000000000002</v>
      </c>
      <c r="F25" s="256">
        <f t="shared" si="9"/>
        <v>14508</v>
      </c>
      <c r="G25" s="256">
        <f t="shared" si="9"/>
        <v>12870.000000000002</v>
      </c>
      <c r="H25" s="256">
        <f t="shared" si="9"/>
        <v>12090</v>
      </c>
      <c r="I25" s="256">
        <f t="shared" si="9"/>
        <v>15112.5</v>
      </c>
      <c r="J25" s="256">
        <f t="shared" si="9"/>
        <v>14625</v>
      </c>
      <c r="K25" s="256">
        <f t="shared" si="9"/>
        <v>14508</v>
      </c>
      <c r="L25" s="256">
        <f t="shared" si="9"/>
        <v>10530</v>
      </c>
      <c r="M25" s="256">
        <f t="shared" si="9"/>
        <v>9672</v>
      </c>
    </row>
    <row r="26" spans="1:14">
      <c r="A26" s="268" t="s">
        <v>514</v>
      </c>
      <c r="B26" s="271">
        <f>$I$16*B22*B20</f>
        <v>85.028571428571425</v>
      </c>
      <c r="C26" s="271">
        <f t="shared" ref="C26:M26" si="10">$I$16*C22*C20</f>
        <v>90.399999999999991</v>
      </c>
      <c r="D26" s="271">
        <f t="shared" si="10"/>
        <v>127.54285714285716</v>
      </c>
      <c r="E26" s="271">
        <f t="shared" si="10"/>
        <v>150.85714285714286</v>
      </c>
      <c r="F26" s="271">
        <f t="shared" si="10"/>
        <v>170.05714285714285</v>
      </c>
      <c r="G26" s="271">
        <f t="shared" si="10"/>
        <v>150.85714285714286</v>
      </c>
      <c r="H26" s="271">
        <f t="shared" si="10"/>
        <v>141.71428571428572</v>
      </c>
      <c r="I26" s="271">
        <f t="shared" si="10"/>
        <v>177.14285714285717</v>
      </c>
      <c r="J26" s="271">
        <f t="shared" si="10"/>
        <v>171.42857142857142</v>
      </c>
      <c r="K26" s="271">
        <f t="shared" si="10"/>
        <v>170.05714285714285</v>
      </c>
      <c r="L26" s="271">
        <f t="shared" si="10"/>
        <v>123.42857142857143</v>
      </c>
      <c r="M26" s="271">
        <f t="shared" si="10"/>
        <v>113.37142857142858</v>
      </c>
    </row>
    <row r="27" spans="1:14">
      <c r="A27" s="268" t="s">
        <v>580</v>
      </c>
      <c r="B27" s="331">
        <f>B26/6</f>
        <v>14.171428571428571</v>
      </c>
      <c r="C27" s="331">
        <f t="shared" ref="C27:M27" si="11">C26/6</f>
        <v>15.066666666666665</v>
      </c>
      <c r="D27" s="331">
        <f t="shared" si="11"/>
        <v>21.25714285714286</v>
      </c>
      <c r="E27" s="331">
        <f t="shared" si="11"/>
        <v>25.142857142857142</v>
      </c>
      <c r="F27" s="331">
        <f t="shared" si="11"/>
        <v>28.342857142857142</v>
      </c>
      <c r="G27" s="331">
        <f t="shared" si="11"/>
        <v>25.142857142857142</v>
      </c>
      <c r="H27" s="331">
        <f t="shared" si="11"/>
        <v>23.61904761904762</v>
      </c>
      <c r="I27" s="331">
        <f t="shared" si="11"/>
        <v>29.523809523809529</v>
      </c>
      <c r="J27" s="331">
        <f t="shared" si="11"/>
        <v>28.571428571428569</v>
      </c>
      <c r="K27" s="331">
        <f t="shared" si="11"/>
        <v>28.342857142857142</v>
      </c>
      <c r="L27" s="331">
        <f t="shared" si="11"/>
        <v>20.571428571428573</v>
      </c>
      <c r="M27" s="331">
        <f t="shared" si="11"/>
        <v>18.895238095238096</v>
      </c>
    </row>
    <row r="49" spans="2:3">
      <c r="B49" t="s">
        <v>655</v>
      </c>
      <c r="C49" s="367">
        <f>I7*365.25/7</f>
        <v>33394.285714285717</v>
      </c>
    </row>
    <row r="50" spans="2:3">
      <c r="B50" t="s">
        <v>656</v>
      </c>
      <c r="C50" s="269">
        <f>SUM(SOO!R9:R14)/'Year 1 Traffic'!C49</f>
        <v>18.886005151350204</v>
      </c>
    </row>
  </sheetData>
  <sheetProtection sheet="1"/>
  <protectedRanges>
    <protectedRange sqref="C3 B6:H6 B8:H8 B10:H10 B13:H13 B15:H15 B20:M20" name="Range1"/>
  </protectedRanges>
  <phoneticPr fontId="38" type="noConversion"/>
  <conditionalFormatting sqref="N20">
    <cfRule type="cellIs" dxfId="5" priority="1" operator="notEqual">
      <formula>1</formula>
    </cfRule>
    <cfRule type="cellIs" dxfId="4" priority="2" operator="equal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93874-57AD-4FF7-AC39-57BAC6890473}">
  <dimension ref="A1:M31"/>
  <sheetViews>
    <sheetView workbookViewId="0">
      <selection activeCell="D36" sqref="D36"/>
    </sheetView>
  </sheetViews>
  <sheetFormatPr defaultRowHeight="14.5"/>
  <cols>
    <col min="1" max="1" width="21.81640625" bestFit="1" customWidth="1"/>
    <col min="2" max="13" width="11.453125" customWidth="1"/>
  </cols>
  <sheetData>
    <row r="1" spans="1:13" ht="21">
      <c r="A1" s="361" t="s">
        <v>602</v>
      </c>
    </row>
    <row r="2" spans="1:13">
      <c r="B2" t="s">
        <v>629</v>
      </c>
      <c r="D2" t="s">
        <v>633</v>
      </c>
      <c r="F2" t="s">
        <v>634</v>
      </c>
    </row>
    <row r="3" spans="1:13">
      <c r="A3" t="s">
        <v>644</v>
      </c>
      <c r="B3" s="359">
        <v>500</v>
      </c>
      <c r="D3" s="265" t="s">
        <v>137</v>
      </c>
      <c r="F3" s="265" t="s">
        <v>137</v>
      </c>
    </row>
    <row r="4" spans="1:13">
      <c r="A4" t="s">
        <v>645</v>
      </c>
      <c r="B4" s="359">
        <v>1000</v>
      </c>
    </row>
    <row r="5" spans="1:13">
      <c r="A5" t="s">
        <v>646</v>
      </c>
      <c r="B5" s="359">
        <v>300</v>
      </c>
    </row>
    <row r="7" spans="1:13">
      <c r="A7" t="s">
        <v>630</v>
      </c>
    </row>
    <row r="8" spans="1:13">
      <c r="A8" t="s">
        <v>644</v>
      </c>
      <c r="B8" s="265">
        <v>4</v>
      </c>
    </row>
    <row r="9" spans="1:13">
      <c r="A9" t="s">
        <v>645</v>
      </c>
      <c r="B9" s="265">
        <v>1</v>
      </c>
    </row>
    <row r="10" spans="1:13">
      <c r="A10" t="s">
        <v>646</v>
      </c>
      <c r="B10" s="265">
        <v>1</v>
      </c>
    </row>
    <row r="12" spans="1:13">
      <c r="B12">
        <f>IF($D$3="No",1,'Year 1 Traffic'!B20)</f>
        <v>0.6</v>
      </c>
      <c r="C12">
        <f>IF($D$3="No",1,'Year 1 Traffic'!C20)</f>
        <v>0.7</v>
      </c>
      <c r="D12">
        <f>IF($D$3="No",1,'Year 1 Traffic'!D20)</f>
        <v>0.9</v>
      </c>
      <c r="E12">
        <f>IF($D$3="No",1,'Year 1 Traffic'!E20)</f>
        <v>1.1000000000000001</v>
      </c>
      <c r="F12">
        <f>IF($D$3="No",1,'Year 1 Traffic'!F20)</f>
        <v>1.2</v>
      </c>
      <c r="G12">
        <f>IF($D$3="No",1,'Year 1 Traffic'!G20)</f>
        <v>1.1000000000000001</v>
      </c>
      <c r="H12">
        <f>IF($D$3="No",1,'Year 1 Traffic'!H20)</f>
        <v>1</v>
      </c>
      <c r="I12">
        <f>IF($D$3="No",1,'Year 1 Traffic'!I20)</f>
        <v>1.25</v>
      </c>
      <c r="J12">
        <f>IF($D$3="No",1,'Year 1 Traffic'!J20)</f>
        <v>1.25</v>
      </c>
      <c r="K12">
        <f>IF($D$3="No",1,'Year 1 Traffic'!K20)</f>
        <v>1.2</v>
      </c>
      <c r="L12">
        <f>IF($D$3="No",1,'Year 1 Traffic'!L20)</f>
        <v>0.9</v>
      </c>
      <c r="M12">
        <f>IF($D$3="No",1,'Year 1 Traffic'!M20)</f>
        <v>0.8</v>
      </c>
    </row>
    <row r="13" spans="1:13">
      <c r="A13" s="268" t="s">
        <v>309</v>
      </c>
      <c r="B13" t="s">
        <v>488</v>
      </c>
      <c r="C13" t="s">
        <v>489</v>
      </c>
      <c r="D13" t="s">
        <v>490</v>
      </c>
      <c r="E13" t="s">
        <v>491</v>
      </c>
      <c r="F13" t="s">
        <v>107</v>
      </c>
      <c r="G13" t="s">
        <v>492</v>
      </c>
      <c r="H13" t="s">
        <v>493</v>
      </c>
      <c r="I13" t="s">
        <v>494</v>
      </c>
      <c r="J13" t="s">
        <v>495</v>
      </c>
      <c r="K13" t="s">
        <v>496</v>
      </c>
      <c r="L13" t="s">
        <v>497</v>
      </c>
      <c r="M13" t="s">
        <v>498</v>
      </c>
    </row>
    <row r="14" spans="1:13">
      <c r="A14" t="s">
        <v>644</v>
      </c>
      <c r="B14" s="358">
        <f>$B$8*$B$3*B$12</f>
        <v>1200</v>
      </c>
      <c r="C14" s="358">
        <f t="shared" ref="C14:M14" si="0">$B$8*$B$3*C$12</f>
        <v>1400</v>
      </c>
      <c r="D14" s="358">
        <f t="shared" si="0"/>
        <v>1800</v>
      </c>
      <c r="E14" s="358">
        <f t="shared" si="0"/>
        <v>2200</v>
      </c>
      <c r="F14" s="358">
        <f t="shared" si="0"/>
        <v>2400</v>
      </c>
      <c r="G14" s="358">
        <f t="shared" si="0"/>
        <v>2200</v>
      </c>
      <c r="H14" s="358">
        <f t="shared" si="0"/>
        <v>2000</v>
      </c>
      <c r="I14" s="358">
        <f t="shared" si="0"/>
        <v>2500</v>
      </c>
      <c r="J14" s="358">
        <f t="shared" si="0"/>
        <v>2500</v>
      </c>
      <c r="K14" s="358">
        <f t="shared" si="0"/>
        <v>2400</v>
      </c>
      <c r="L14" s="358">
        <f t="shared" si="0"/>
        <v>1800</v>
      </c>
      <c r="M14" s="358">
        <f t="shared" si="0"/>
        <v>1600</v>
      </c>
    </row>
    <row r="15" spans="1:13">
      <c r="A15" t="s">
        <v>645</v>
      </c>
      <c r="B15" s="358">
        <f>$B$9*$B$4*B$12</f>
        <v>600</v>
      </c>
      <c r="C15" s="358">
        <f t="shared" ref="C15:M15" si="1">$B$9*$B$4*C$12</f>
        <v>700</v>
      </c>
      <c r="D15" s="358">
        <f t="shared" si="1"/>
        <v>900</v>
      </c>
      <c r="E15" s="358">
        <f t="shared" si="1"/>
        <v>1100</v>
      </c>
      <c r="F15" s="358">
        <f t="shared" si="1"/>
        <v>1200</v>
      </c>
      <c r="G15" s="358">
        <f t="shared" si="1"/>
        <v>1100</v>
      </c>
      <c r="H15" s="358">
        <f t="shared" si="1"/>
        <v>1000</v>
      </c>
      <c r="I15" s="358">
        <f t="shared" si="1"/>
        <v>1250</v>
      </c>
      <c r="J15" s="358">
        <f t="shared" si="1"/>
        <v>1250</v>
      </c>
      <c r="K15" s="358">
        <f t="shared" si="1"/>
        <v>1200</v>
      </c>
      <c r="L15" s="358">
        <f t="shared" si="1"/>
        <v>900</v>
      </c>
      <c r="M15" s="358">
        <f t="shared" si="1"/>
        <v>800</v>
      </c>
    </row>
    <row r="16" spans="1:13">
      <c r="A16" t="s">
        <v>646</v>
      </c>
      <c r="B16" s="358">
        <f>$B$5*$B$10*B12</f>
        <v>180</v>
      </c>
      <c r="C16" s="358">
        <f t="shared" ref="C16:M16" si="2">$B$5*$B$10*C12</f>
        <v>210</v>
      </c>
      <c r="D16" s="358">
        <f t="shared" si="2"/>
        <v>270</v>
      </c>
      <c r="E16" s="358">
        <f t="shared" si="2"/>
        <v>330</v>
      </c>
      <c r="F16" s="358">
        <f t="shared" si="2"/>
        <v>360</v>
      </c>
      <c r="G16" s="358">
        <f t="shared" si="2"/>
        <v>330</v>
      </c>
      <c r="H16" s="358">
        <f t="shared" si="2"/>
        <v>300</v>
      </c>
      <c r="I16" s="358">
        <f t="shared" si="2"/>
        <v>375</v>
      </c>
      <c r="J16" s="358">
        <f t="shared" si="2"/>
        <v>375</v>
      </c>
      <c r="K16" s="358">
        <f t="shared" si="2"/>
        <v>360</v>
      </c>
      <c r="L16" s="358">
        <f t="shared" si="2"/>
        <v>270</v>
      </c>
      <c r="M16" s="358">
        <f t="shared" si="2"/>
        <v>240</v>
      </c>
    </row>
    <row r="17" spans="1:13">
      <c r="A17" s="360" t="s">
        <v>220</v>
      </c>
      <c r="B17" s="358">
        <f>SUM(B14:B16)</f>
        <v>1980</v>
      </c>
      <c r="C17" s="358">
        <f t="shared" ref="C17:M17" si="3">SUM(C14:C16)</f>
        <v>2310</v>
      </c>
      <c r="D17" s="358">
        <f t="shared" si="3"/>
        <v>2970</v>
      </c>
      <c r="E17" s="358">
        <f t="shared" si="3"/>
        <v>3630</v>
      </c>
      <c r="F17" s="358">
        <f t="shared" si="3"/>
        <v>3960</v>
      </c>
      <c r="G17" s="358">
        <f t="shared" si="3"/>
        <v>3630</v>
      </c>
      <c r="H17" s="358">
        <f t="shared" si="3"/>
        <v>3300</v>
      </c>
      <c r="I17" s="358">
        <f t="shared" si="3"/>
        <v>4125</v>
      </c>
      <c r="J17" s="358">
        <f t="shared" si="3"/>
        <v>4125</v>
      </c>
      <c r="K17" s="358">
        <f t="shared" si="3"/>
        <v>3960</v>
      </c>
      <c r="L17" s="358">
        <f t="shared" si="3"/>
        <v>2970</v>
      </c>
      <c r="M17" s="358">
        <f t="shared" si="3"/>
        <v>2640</v>
      </c>
    </row>
    <row r="19" spans="1:13" ht="21">
      <c r="A19" s="361" t="s">
        <v>635</v>
      </c>
    </row>
    <row r="20" spans="1:13">
      <c r="B20" t="s">
        <v>647</v>
      </c>
      <c r="C20" t="s">
        <v>632</v>
      </c>
    </row>
    <row r="21" spans="1:13">
      <c r="A21" t="s">
        <v>636</v>
      </c>
      <c r="B21" s="265">
        <v>2</v>
      </c>
      <c r="C21" s="265">
        <v>3</v>
      </c>
    </row>
    <row r="22" spans="1:13">
      <c r="A22" t="s">
        <v>637</v>
      </c>
      <c r="B22" s="265">
        <v>5</v>
      </c>
      <c r="C22" s="265">
        <v>5</v>
      </c>
    </row>
    <row r="23" spans="1:13">
      <c r="A23" t="s">
        <v>638</v>
      </c>
      <c r="B23" s="270">
        <v>12</v>
      </c>
      <c r="C23" s="270">
        <v>12</v>
      </c>
    </row>
    <row r="26" spans="1:13">
      <c r="A26" s="268" t="s">
        <v>309</v>
      </c>
      <c r="B26" t="s">
        <v>488</v>
      </c>
      <c r="C26" t="s">
        <v>489</v>
      </c>
      <c r="D26" t="s">
        <v>490</v>
      </c>
      <c r="E26" t="s">
        <v>491</v>
      </c>
      <c r="F26" t="s">
        <v>107</v>
      </c>
      <c r="G26" t="s">
        <v>492</v>
      </c>
      <c r="H26" t="s">
        <v>493</v>
      </c>
      <c r="I26" t="s">
        <v>494</v>
      </c>
      <c r="J26" t="s">
        <v>495</v>
      </c>
      <c r="K26" t="s">
        <v>496</v>
      </c>
      <c r="L26" t="s">
        <v>497</v>
      </c>
      <c r="M26" t="s">
        <v>498</v>
      </c>
    </row>
    <row r="27" spans="1:13">
      <c r="A27" s="268" t="s">
        <v>631</v>
      </c>
      <c r="B27" s="358">
        <f>$B$8*B$12*$B$21*$B$22*$B$23</f>
        <v>288</v>
      </c>
      <c r="C27" s="358">
        <f t="shared" ref="C27:M27" si="4">$B$8*C$12*$B$21*$B$22*$B$23</f>
        <v>336</v>
      </c>
      <c r="D27" s="358">
        <f t="shared" si="4"/>
        <v>432</v>
      </c>
      <c r="E27" s="358">
        <f t="shared" si="4"/>
        <v>528</v>
      </c>
      <c r="F27" s="358">
        <f t="shared" si="4"/>
        <v>576</v>
      </c>
      <c r="G27" s="358">
        <f t="shared" si="4"/>
        <v>528</v>
      </c>
      <c r="H27" s="358">
        <f t="shared" si="4"/>
        <v>480</v>
      </c>
      <c r="I27" s="358">
        <f t="shared" si="4"/>
        <v>600</v>
      </c>
      <c r="J27" s="358">
        <f t="shared" si="4"/>
        <v>600</v>
      </c>
      <c r="K27" s="358">
        <f t="shared" si="4"/>
        <v>576</v>
      </c>
      <c r="L27" s="358">
        <f t="shared" si="4"/>
        <v>432</v>
      </c>
      <c r="M27" s="358">
        <f t="shared" si="4"/>
        <v>384</v>
      </c>
    </row>
    <row r="28" spans="1:13">
      <c r="A28" s="268" t="s">
        <v>632</v>
      </c>
      <c r="B28" s="358">
        <f>$B$9*B$12*$C$21*$C$22*$C$23</f>
        <v>108</v>
      </c>
      <c r="C28" s="358">
        <f t="shared" ref="C28:M28" si="5">$B$9*C$12*$C$21*$C$22*$C$23</f>
        <v>125.99999999999997</v>
      </c>
      <c r="D28" s="358">
        <f t="shared" si="5"/>
        <v>162</v>
      </c>
      <c r="E28" s="358">
        <f t="shared" si="5"/>
        <v>198</v>
      </c>
      <c r="F28" s="358">
        <f t="shared" si="5"/>
        <v>216</v>
      </c>
      <c r="G28" s="358">
        <f t="shared" si="5"/>
        <v>198</v>
      </c>
      <c r="H28" s="358">
        <f t="shared" si="5"/>
        <v>180</v>
      </c>
      <c r="I28" s="358">
        <f t="shared" si="5"/>
        <v>225</v>
      </c>
      <c r="J28" s="358">
        <f t="shared" si="5"/>
        <v>225</v>
      </c>
      <c r="K28" s="358">
        <f t="shared" si="5"/>
        <v>216</v>
      </c>
      <c r="L28" s="358">
        <f t="shared" si="5"/>
        <v>162</v>
      </c>
      <c r="M28" s="358">
        <f t="shared" si="5"/>
        <v>144.00000000000003</v>
      </c>
    </row>
    <row r="29" spans="1:13">
      <c r="A29" s="360" t="s">
        <v>220</v>
      </c>
      <c r="B29" s="358">
        <f>SUM(B27:B28)</f>
        <v>396</v>
      </c>
      <c r="C29" s="358">
        <f t="shared" ref="C29" si="6">SUM(C27:C28)</f>
        <v>462</v>
      </c>
      <c r="D29" s="358">
        <f t="shared" ref="D29" si="7">SUM(D27:D28)</f>
        <v>594</v>
      </c>
      <c r="E29" s="358">
        <f t="shared" ref="E29" si="8">SUM(E27:E28)</f>
        <v>726</v>
      </c>
      <c r="F29" s="358">
        <f t="shared" ref="F29" si="9">SUM(F27:F28)</f>
        <v>792</v>
      </c>
      <c r="G29" s="358">
        <f t="shared" ref="G29" si="10">SUM(G27:G28)</f>
        <v>726</v>
      </c>
      <c r="H29" s="358">
        <f t="shared" ref="H29" si="11">SUM(H27:H28)</f>
        <v>660</v>
      </c>
      <c r="I29" s="358">
        <f t="shared" ref="I29" si="12">SUM(I27:I28)</f>
        <v>825</v>
      </c>
      <c r="J29" s="358">
        <f t="shared" ref="J29" si="13">SUM(J27:J28)</f>
        <v>825</v>
      </c>
      <c r="K29" s="358">
        <f t="shared" ref="K29" si="14">SUM(K27:K28)</f>
        <v>792</v>
      </c>
      <c r="L29" s="358">
        <f t="shared" ref="L29" si="15">SUM(L27:L28)</f>
        <v>594</v>
      </c>
      <c r="M29" s="358">
        <f t="shared" ref="M29" si="16">SUM(M27:M28)</f>
        <v>528</v>
      </c>
    </row>
    <row r="31" spans="1:13">
      <c r="B31" s="362">
        <f>B29/B17</f>
        <v>0.2</v>
      </c>
      <c r="C31" s="362">
        <f t="shared" ref="C31:M31" si="17">C29/C17</f>
        <v>0.2</v>
      </c>
      <c r="D31" s="362">
        <f t="shared" si="17"/>
        <v>0.2</v>
      </c>
      <c r="E31" s="362">
        <f t="shared" si="17"/>
        <v>0.2</v>
      </c>
      <c r="F31" s="362">
        <f t="shared" si="17"/>
        <v>0.2</v>
      </c>
      <c r="G31" s="362">
        <f t="shared" si="17"/>
        <v>0.2</v>
      </c>
      <c r="H31" s="362">
        <f t="shared" si="17"/>
        <v>0.2</v>
      </c>
      <c r="I31" s="362">
        <f t="shared" si="17"/>
        <v>0.2</v>
      </c>
      <c r="J31" s="362">
        <f t="shared" si="17"/>
        <v>0.2</v>
      </c>
      <c r="K31" s="362">
        <f t="shared" si="17"/>
        <v>0.2</v>
      </c>
      <c r="L31" s="362">
        <f t="shared" si="17"/>
        <v>0.2</v>
      </c>
      <c r="M31" s="362">
        <f t="shared" si="17"/>
        <v>0.2</v>
      </c>
    </row>
  </sheetData>
  <sheetProtection sheet="1" objects="1" scenarios="1"/>
  <protectedRanges>
    <protectedRange sqref="B3:B5 D3 F3 B8:B10 B21:C23" name="Range1"/>
  </protectedRanges>
  <dataValidations count="1">
    <dataValidation type="list" allowBlank="1" showInputMessage="1" showErrorMessage="1" sqref="D3 F3" xr:uid="{F02D0902-4FC6-4C4D-A518-FF81D905660A}">
      <formula1>Yes_No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Y976"/>
  <sheetViews>
    <sheetView zoomScale="115" zoomScaleNormal="115" workbookViewId="0">
      <pane xSplit="11" ySplit="6" topLeftCell="BK118" activePane="bottomRight" state="frozen"/>
      <selection pane="topRight" activeCell="G1" sqref="G1"/>
      <selection pane="bottomLeft" activeCell="A7" sqref="A7"/>
      <selection pane="bottomRight" activeCell="BU142" sqref="BU142"/>
    </sheetView>
  </sheetViews>
  <sheetFormatPr defaultColWidth="14.453125" defaultRowHeight="15" customHeight="1"/>
  <cols>
    <col min="1" max="1" width="3.7265625" customWidth="1"/>
    <col min="2" max="2" width="11.1796875" customWidth="1"/>
    <col min="3" max="6" width="11.1796875" hidden="1" customWidth="1"/>
    <col min="7" max="7" width="8.81640625" customWidth="1"/>
    <col min="8" max="8" width="9.7265625" hidden="1" customWidth="1"/>
    <col min="9" max="9" width="5.26953125" customWidth="1"/>
    <col min="10" max="10" width="18.7265625" bestFit="1" customWidth="1"/>
    <col min="11" max="11" width="12.26953125" customWidth="1"/>
    <col min="12" max="12" width="11.54296875" customWidth="1"/>
    <col min="13" max="23" width="10.54296875" customWidth="1"/>
    <col min="24" max="24" width="12.453125" style="264" customWidth="1"/>
    <col min="25" max="25" width="11.81640625" style="303" customWidth="1"/>
    <col min="26" max="27" width="11.81640625" customWidth="1"/>
    <col min="28" max="28" width="10.81640625" customWidth="1"/>
    <col min="29" max="30" width="11.26953125" customWidth="1"/>
    <col min="31" max="31" width="11.81640625" customWidth="1"/>
    <col min="32" max="32" width="11.26953125" customWidth="1"/>
    <col min="33" max="36" width="11.81640625" customWidth="1"/>
    <col min="37" max="37" width="12.26953125" style="264" customWidth="1"/>
    <col min="38" max="38" width="11.81640625" style="303" customWidth="1"/>
    <col min="39" max="39" width="11.81640625" customWidth="1"/>
    <col min="40" max="49" width="11" bestFit="1" customWidth="1"/>
    <col min="50" max="50" width="12" style="264" bestFit="1" customWidth="1"/>
    <col min="51" max="51" width="11" style="303" bestFit="1" customWidth="1"/>
    <col min="52" max="62" width="11" bestFit="1" customWidth="1"/>
    <col min="63" max="63" width="12" style="264" bestFit="1" customWidth="1"/>
    <col min="64" max="64" width="11" style="303" bestFit="1" customWidth="1"/>
    <col min="65" max="75" width="11" bestFit="1" customWidth="1"/>
    <col min="76" max="76" width="12" bestFit="1" customWidth="1"/>
    <col min="77" max="77" width="10.54296875" customWidth="1"/>
  </cols>
  <sheetData>
    <row r="1" spans="1:77" ht="14.5">
      <c r="A1" s="91" t="str">
        <f>Assumptions!A1</f>
        <v>Central Brewing Company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285"/>
      <c r="Y1" s="294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304"/>
      <c r="AL1" s="294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304"/>
      <c r="AY1" s="294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304"/>
      <c r="BL1" s="294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</row>
    <row r="2" spans="1:77" ht="14.5">
      <c r="A2" s="92" t="s">
        <v>602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285"/>
      <c r="Y2" s="294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304"/>
      <c r="AL2" s="294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304"/>
      <c r="AY2" s="294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304"/>
      <c r="BL2" s="294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</row>
    <row r="3" spans="1:77" ht="15.75" customHeight="1">
      <c r="A3" s="93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3"/>
      <c r="Y3" s="295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295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295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295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2"/>
    </row>
    <row r="4" spans="1:77" ht="14.5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6"/>
      <c r="M4" s="97"/>
      <c r="N4" s="97"/>
      <c r="O4" s="97"/>
      <c r="P4" s="97"/>
      <c r="Q4" s="97"/>
      <c r="R4" s="98" t="s">
        <v>98</v>
      </c>
      <c r="S4" s="97"/>
      <c r="T4" s="97"/>
      <c r="U4" s="97"/>
      <c r="V4" s="97"/>
      <c r="W4" s="97"/>
      <c r="X4" s="286"/>
      <c r="Y4" s="296"/>
      <c r="Z4" s="97"/>
      <c r="AA4" s="97"/>
      <c r="AB4" s="97"/>
      <c r="AC4" s="97"/>
      <c r="AD4" s="97"/>
      <c r="AE4" s="98" t="s">
        <v>99</v>
      </c>
      <c r="AF4" s="97"/>
      <c r="AG4" s="97"/>
      <c r="AH4" s="97"/>
      <c r="AI4" s="97"/>
      <c r="AJ4" s="97"/>
      <c r="AK4" s="305"/>
      <c r="AL4" s="296"/>
      <c r="AM4" s="97"/>
      <c r="AN4" s="97"/>
      <c r="AO4" s="97"/>
      <c r="AP4" s="97"/>
      <c r="AQ4" s="97"/>
      <c r="AR4" s="98" t="s">
        <v>100</v>
      </c>
      <c r="AS4" s="97"/>
      <c r="AT4" s="97"/>
      <c r="AU4" s="97"/>
      <c r="AV4" s="97"/>
      <c r="AW4" s="97"/>
      <c r="AX4" s="305"/>
      <c r="AY4" s="296"/>
      <c r="AZ4" s="97"/>
      <c r="BA4" s="97"/>
      <c r="BB4" s="97"/>
      <c r="BC4" s="97"/>
      <c r="BD4" s="97"/>
      <c r="BE4" s="98" t="s">
        <v>101</v>
      </c>
      <c r="BF4" s="97"/>
      <c r="BG4" s="97"/>
      <c r="BH4" s="97"/>
      <c r="BI4" s="97"/>
      <c r="BJ4" s="97"/>
      <c r="BK4" s="305"/>
      <c r="BL4" s="296"/>
      <c r="BM4" s="97"/>
      <c r="BN4" s="97"/>
      <c r="BO4" s="97"/>
      <c r="BP4" s="97"/>
      <c r="BQ4" s="97"/>
      <c r="BR4" s="98" t="s">
        <v>102</v>
      </c>
      <c r="BS4" s="97"/>
      <c r="BT4" s="97"/>
      <c r="BU4" s="97"/>
      <c r="BV4" s="97"/>
      <c r="BW4" s="97"/>
      <c r="BX4" s="99"/>
      <c r="BY4" s="92"/>
    </row>
    <row r="5" spans="1:77" ht="14.5">
      <c r="A5" s="91"/>
      <c r="B5" s="91"/>
      <c r="C5" s="91"/>
      <c r="D5" s="91"/>
      <c r="E5" s="91"/>
      <c r="F5" s="91"/>
      <c r="G5" s="91"/>
      <c r="H5" s="91"/>
      <c r="I5" s="91"/>
      <c r="J5" s="91"/>
      <c r="K5" s="91"/>
      <c r="L5" s="100" t="str">
        <f>SOFP!F5</f>
        <v>Jan</v>
      </c>
      <c r="M5" s="100" t="str">
        <f>SOFP!G5</f>
        <v>Feb</v>
      </c>
      <c r="N5" s="100" t="str">
        <f>SOFP!H5</f>
        <v>Mar</v>
      </c>
      <c r="O5" s="100" t="str">
        <f>SOFP!I5</f>
        <v>Apr</v>
      </c>
      <c r="P5" s="100" t="str">
        <f>SOFP!J5</f>
        <v>May</v>
      </c>
      <c r="Q5" s="100" t="str">
        <f>SOFP!K5</f>
        <v>Jun</v>
      </c>
      <c r="R5" s="100" t="str">
        <f>SOFP!L5</f>
        <v>Jul</v>
      </c>
      <c r="S5" s="100" t="str">
        <f>SOFP!M5</f>
        <v>Aug</v>
      </c>
      <c r="T5" s="100" t="str">
        <f>SOFP!N5</f>
        <v>Sep</v>
      </c>
      <c r="U5" s="100" t="str">
        <f>SOFP!O5</f>
        <v>Oct</v>
      </c>
      <c r="V5" s="100" t="str">
        <f>SOFP!P5</f>
        <v>Nov</v>
      </c>
      <c r="W5" s="100" t="str">
        <f>SOFP!Q5</f>
        <v>Dec</v>
      </c>
      <c r="X5" s="287" t="s">
        <v>116</v>
      </c>
      <c r="Y5" s="297" t="str">
        <f t="shared" ref="Y5:AJ5" si="0">L5</f>
        <v>Jan</v>
      </c>
      <c r="Z5" s="100" t="str">
        <f t="shared" si="0"/>
        <v>Feb</v>
      </c>
      <c r="AA5" s="100" t="str">
        <f t="shared" si="0"/>
        <v>Mar</v>
      </c>
      <c r="AB5" s="100" t="str">
        <f t="shared" si="0"/>
        <v>Apr</v>
      </c>
      <c r="AC5" s="100" t="str">
        <f t="shared" si="0"/>
        <v>May</v>
      </c>
      <c r="AD5" s="100" t="str">
        <f t="shared" si="0"/>
        <v>Jun</v>
      </c>
      <c r="AE5" s="100" t="str">
        <f t="shared" si="0"/>
        <v>Jul</v>
      </c>
      <c r="AF5" s="100" t="str">
        <f t="shared" si="0"/>
        <v>Aug</v>
      </c>
      <c r="AG5" s="100" t="str">
        <f t="shared" si="0"/>
        <v>Sep</v>
      </c>
      <c r="AH5" s="100" t="str">
        <f t="shared" si="0"/>
        <v>Oct</v>
      </c>
      <c r="AI5" s="100" t="str">
        <f t="shared" si="0"/>
        <v>Nov</v>
      </c>
      <c r="AJ5" s="100" t="str">
        <f t="shared" si="0"/>
        <v>Dec</v>
      </c>
      <c r="AK5" s="287" t="s">
        <v>116</v>
      </c>
      <c r="AL5" s="297" t="str">
        <f t="shared" ref="AL5:AW5" si="1">Y5</f>
        <v>Jan</v>
      </c>
      <c r="AM5" s="100" t="str">
        <f t="shared" si="1"/>
        <v>Feb</v>
      </c>
      <c r="AN5" s="100" t="str">
        <f t="shared" si="1"/>
        <v>Mar</v>
      </c>
      <c r="AO5" s="100" t="str">
        <f t="shared" si="1"/>
        <v>Apr</v>
      </c>
      <c r="AP5" s="100" t="str">
        <f t="shared" si="1"/>
        <v>May</v>
      </c>
      <c r="AQ5" s="100" t="str">
        <f t="shared" si="1"/>
        <v>Jun</v>
      </c>
      <c r="AR5" s="100" t="str">
        <f t="shared" si="1"/>
        <v>Jul</v>
      </c>
      <c r="AS5" s="100" t="str">
        <f t="shared" si="1"/>
        <v>Aug</v>
      </c>
      <c r="AT5" s="100" t="str">
        <f t="shared" si="1"/>
        <v>Sep</v>
      </c>
      <c r="AU5" s="100" t="str">
        <f t="shared" si="1"/>
        <v>Oct</v>
      </c>
      <c r="AV5" s="100" t="str">
        <f t="shared" si="1"/>
        <v>Nov</v>
      </c>
      <c r="AW5" s="100" t="str">
        <f t="shared" si="1"/>
        <v>Dec</v>
      </c>
      <c r="AX5" s="287" t="s">
        <v>116</v>
      </c>
      <c r="AY5" s="297" t="str">
        <f t="shared" ref="AY5:BJ5" si="2">AL5</f>
        <v>Jan</v>
      </c>
      <c r="AZ5" s="100" t="str">
        <f t="shared" si="2"/>
        <v>Feb</v>
      </c>
      <c r="BA5" s="100" t="str">
        <f t="shared" si="2"/>
        <v>Mar</v>
      </c>
      <c r="BB5" s="100" t="str">
        <f t="shared" si="2"/>
        <v>Apr</v>
      </c>
      <c r="BC5" s="100" t="str">
        <f t="shared" si="2"/>
        <v>May</v>
      </c>
      <c r="BD5" s="100" t="str">
        <f t="shared" si="2"/>
        <v>Jun</v>
      </c>
      <c r="BE5" s="100" t="str">
        <f t="shared" si="2"/>
        <v>Jul</v>
      </c>
      <c r="BF5" s="100" t="str">
        <f t="shared" si="2"/>
        <v>Aug</v>
      </c>
      <c r="BG5" s="100" t="str">
        <f t="shared" si="2"/>
        <v>Sep</v>
      </c>
      <c r="BH5" s="100" t="str">
        <f t="shared" si="2"/>
        <v>Oct</v>
      </c>
      <c r="BI5" s="100" t="str">
        <f t="shared" si="2"/>
        <v>Nov</v>
      </c>
      <c r="BJ5" s="100" t="str">
        <f t="shared" si="2"/>
        <v>Dec</v>
      </c>
      <c r="BK5" s="287" t="s">
        <v>116</v>
      </c>
      <c r="BL5" s="297" t="str">
        <f t="shared" ref="BL5:BW5" si="3">AY5</f>
        <v>Jan</v>
      </c>
      <c r="BM5" s="100" t="str">
        <f t="shared" si="3"/>
        <v>Feb</v>
      </c>
      <c r="BN5" s="100" t="str">
        <f t="shared" si="3"/>
        <v>Mar</v>
      </c>
      <c r="BO5" s="100" t="str">
        <f t="shared" si="3"/>
        <v>Apr</v>
      </c>
      <c r="BP5" s="100" t="str">
        <f t="shared" si="3"/>
        <v>May</v>
      </c>
      <c r="BQ5" s="100" t="str">
        <f t="shared" si="3"/>
        <v>Jun</v>
      </c>
      <c r="BR5" s="100" t="str">
        <f t="shared" si="3"/>
        <v>Jul</v>
      </c>
      <c r="BS5" s="100" t="str">
        <f t="shared" si="3"/>
        <v>Aug</v>
      </c>
      <c r="BT5" s="100" t="str">
        <f t="shared" si="3"/>
        <v>Sep</v>
      </c>
      <c r="BU5" s="100" t="str">
        <f t="shared" si="3"/>
        <v>Oct</v>
      </c>
      <c r="BV5" s="100" t="str">
        <f t="shared" si="3"/>
        <v>Nov</v>
      </c>
      <c r="BW5" s="100" t="str">
        <f t="shared" si="3"/>
        <v>Dec</v>
      </c>
      <c r="BX5" s="101" t="s">
        <v>116</v>
      </c>
      <c r="BY5" s="101" t="s">
        <v>117</v>
      </c>
    </row>
    <row r="6" spans="1:77" ht="14.5">
      <c r="A6" s="91"/>
      <c r="B6" s="92"/>
      <c r="C6" s="92"/>
      <c r="D6" s="92"/>
      <c r="E6" s="92"/>
      <c r="F6" s="92"/>
      <c r="G6" s="92"/>
      <c r="H6" s="92"/>
      <c r="I6" s="92"/>
      <c r="J6" s="92"/>
      <c r="K6" s="92"/>
      <c r="L6" s="102">
        <v>1</v>
      </c>
      <c r="M6" s="102">
        <v>2</v>
      </c>
      <c r="N6" s="102">
        <v>3</v>
      </c>
      <c r="O6" s="102">
        <v>4</v>
      </c>
      <c r="P6" s="102">
        <v>5</v>
      </c>
      <c r="Q6" s="102">
        <v>6</v>
      </c>
      <c r="R6" s="102">
        <v>7</v>
      </c>
      <c r="S6" s="102">
        <v>8</v>
      </c>
      <c r="T6" s="102">
        <v>9</v>
      </c>
      <c r="U6" s="102">
        <v>10</v>
      </c>
      <c r="V6" s="102">
        <v>11</v>
      </c>
      <c r="W6" s="102">
        <v>12</v>
      </c>
      <c r="X6" s="288"/>
      <c r="Y6" s="298">
        <v>13</v>
      </c>
      <c r="Z6" s="102">
        <v>14</v>
      </c>
      <c r="AA6" s="102">
        <v>15</v>
      </c>
      <c r="AB6" s="102">
        <v>16</v>
      </c>
      <c r="AC6" s="102">
        <v>17</v>
      </c>
      <c r="AD6" s="102">
        <v>18</v>
      </c>
      <c r="AE6" s="102">
        <v>19</v>
      </c>
      <c r="AF6" s="102">
        <v>20</v>
      </c>
      <c r="AG6" s="102">
        <v>21</v>
      </c>
      <c r="AH6" s="102">
        <v>22</v>
      </c>
      <c r="AI6" s="102">
        <v>23</v>
      </c>
      <c r="AJ6" s="102">
        <v>24</v>
      </c>
      <c r="AK6" s="288"/>
      <c r="AL6" s="298">
        <v>25</v>
      </c>
      <c r="AM6" s="102">
        <v>26</v>
      </c>
      <c r="AN6" s="102">
        <v>27</v>
      </c>
      <c r="AO6" s="102">
        <v>28</v>
      </c>
      <c r="AP6" s="102">
        <v>29</v>
      </c>
      <c r="AQ6" s="102">
        <v>30</v>
      </c>
      <c r="AR6" s="102">
        <v>31</v>
      </c>
      <c r="AS6" s="102">
        <v>32</v>
      </c>
      <c r="AT6" s="102">
        <v>33</v>
      </c>
      <c r="AU6" s="102">
        <v>34</v>
      </c>
      <c r="AV6" s="102">
        <v>35</v>
      </c>
      <c r="AW6" s="102">
        <v>36</v>
      </c>
      <c r="AX6" s="288"/>
      <c r="AY6" s="298">
        <v>37</v>
      </c>
      <c r="AZ6" s="102">
        <v>38</v>
      </c>
      <c r="BA6" s="102">
        <v>39</v>
      </c>
      <c r="BB6" s="102">
        <v>40</v>
      </c>
      <c r="BC6" s="102">
        <v>41</v>
      </c>
      <c r="BD6" s="102">
        <v>42</v>
      </c>
      <c r="BE6" s="102">
        <v>43</v>
      </c>
      <c r="BF6" s="102">
        <v>44</v>
      </c>
      <c r="BG6" s="102">
        <v>45</v>
      </c>
      <c r="BH6" s="102">
        <v>46</v>
      </c>
      <c r="BI6" s="102">
        <v>47</v>
      </c>
      <c r="BJ6" s="102">
        <v>48</v>
      </c>
      <c r="BK6" s="288"/>
      <c r="BL6" s="298">
        <v>49</v>
      </c>
      <c r="BM6" s="102">
        <v>50</v>
      </c>
      <c r="BN6" s="102">
        <v>51</v>
      </c>
      <c r="BO6" s="102">
        <v>52</v>
      </c>
      <c r="BP6" s="102">
        <v>53</v>
      </c>
      <c r="BQ6" s="102">
        <v>54</v>
      </c>
      <c r="BR6" s="102">
        <v>55</v>
      </c>
      <c r="BS6" s="102">
        <v>56</v>
      </c>
      <c r="BT6" s="102">
        <v>57</v>
      </c>
      <c r="BU6" s="102">
        <v>58</v>
      </c>
      <c r="BV6" s="102">
        <v>59</v>
      </c>
      <c r="BW6" s="102">
        <v>60</v>
      </c>
      <c r="BX6" s="103"/>
      <c r="BY6" s="92"/>
    </row>
    <row r="7" spans="1:77" ht="14.25" customHeight="1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288">
        <f>SUM(L7:W7)</f>
        <v>0</v>
      </c>
      <c r="Y7" s="294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304"/>
      <c r="AL7" s="294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304"/>
      <c r="AY7" s="294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  <c r="BK7" s="304"/>
      <c r="BL7" s="294"/>
      <c r="BM7" s="92"/>
      <c r="BN7" s="92"/>
      <c r="BO7" s="92"/>
      <c r="BP7" s="92"/>
      <c r="BQ7" s="92"/>
      <c r="BR7" s="92"/>
      <c r="BS7" s="92"/>
      <c r="BT7" s="92"/>
      <c r="BU7" s="92"/>
      <c r="BV7" s="92"/>
      <c r="BW7" s="92"/>
      <c r="BX7" s="92"/>
      <c r="BY7" s="92"/>
    </row>
    <row r="8" spans="1:77" ht="14.25" customHeight="1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288"/>
      <c r="Y8" s="294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04"/>
      <c r="AL8" s="294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304"/>
      <c r="AY8" s="294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2"/>
      <c r="BK8" s="304"/>
      <c r="BL8" s="294"/>
      <c r="BM8" s="92"/>
      <c r="BN8" s="92"/>
      <c r="BO8" s="92"/>
      <c r="BP8" s="92"/>
      <c r="BQ8" s="92"/>
      <c r="BR8" s="92"/>
      <c r="BS8" s="92"/>
      <c r="BT8" s="92"/>
      <c r="BU8" s="92"/>
      <c r="BV8" s="92"/>
      <c r="BW8" s="92"/>
      <c r="BX8" s="92"/>
      <c r="BY8" s="92"/>
    </row>
    <row r="9" spans="1:77" ht="14.25" customHeight="1">
      <c r="B9" s="92" t="s">
        <v>649</v>
      </c>
      <c r="C9" s="92"/>
      <c r="D9" s="92"/>
      <c r="E9" s="92"/>
      <c r="F9" s="92"/>
      <c r="G9" s="92"/>
      <c r="H9" s="92"/>
      <c r="I9" s="92"/>
      <c r="J9" s="255" t="s">
        <v>504</v>
      </c>
      <c r="K9" s="92"/>
      <c r="L9" s="272">
        <f>'Year 1 Traffic'!B25</f>
        <v>7254</v>
      </c>
      <c r="M9" s="272">
        <f>'Year 1 Traffic'!C25</f>
        <v>7712.2499999999991</v>
      </c>
      <c r="N9" s="272">
        <f>'Year 1 Traffic'!D25</f>
        <v>10881</v>
      </c>
      <c r="O9" s="272">
        <f>'Year 1 Traffic'!E25</f>
        <v>12870.000000000002</v>
      </c>
      <c r="P9" s="272">
        <f>'Year 1 Traffic'!F25</f>
        <v>14508</v>
      </c>
      <c r="Q9" s="272">
        <f>'Year 1 Traffic'!G25</f>
        <v>12870.000000000002</v>
      </c>
      <c r="R9" s="272">
        <f>'Year 1 Traffic'!H25</f>
        <v>12090</v>
      </c>
      <c r="S9" s="272">
        <f>'Year 1 Traffic'!I25</f>
        <v>15112.5</v>
      </c>
      <c r="T9" s="272">
        <f>'Year 1 Traffic'!J25</f>
        <v>14625</v>
      </c>
      <c r="U9" s="272">
        <f>'Year 1 Traffic'!K25</f>
        <v>14508</v>
      </c>
      <c r="V9" s="272">
        <f>'Year 1 Traffic'!L25</f>
        <v>10530</v>
      </c>
      <c r="W9" s="272">
        <f>'Year 1 Traffic'!M25</f>
        <v>9672</v>
      </c>
      <c r="X9" s="289">
        <f>SUM(L9:W9)</f>
        <v>142632.75</v>
      </c>
      <c r="Y9" s="299">
        <f>L9*(1+Assumptions!$D$73)*(1+Assumptions!$D$74)</f>
        <v>8342.0999999999985</v>
      </c>
      <c r="Z9" s="272">
        <f>M9*(1+Assumptions!$D$73)*(1+Assumptions!$D$74)</f>
        <v>8869.0874999999978</v>
      </c>
      <c r="AA9" s="272">
        <f>N9*(1+Assumptions!$D$73)*(1+Assumptions!$D$74)</f>
        <v>12513.15</v>
      </c>
      <c r="AB9" s="272">
        <f>O9*(1+Assumptions!$D$73)*(1+Assumptions!$D$74)</f>
        <v>14800.500000000002</v>
      </c>
      <c r="AC9" s="272">
        <f>P9*(1+Assumptions!$D$73)*(1+Assumptions!$D$74)</f>
        <v>16684.199999999997</v>
      </c>
      <c r="AD9" s="272">
        <f>Q9*(1+Assumptions!$D$73)*(1+Assumptions!$D$74)</f>
        <v>14800.500000000002</v>
      </c>
      <c r="AE9" s="272">
        <f>R9*(1+Assumptions!$D$73)*(1+Assumptions!$D$74)</f>
        <v>13903.499999999998</v>
      </c>
      <c r="AF9" s="272">
        <f>S9*(1+Assumptions!$D$73)*(1+Assumptions!$D$74)</f>
        <v>17379.375</v>
      </c>
      <c r="AG9" s="272">
        <f>T9*(1+Assumptions!$D$73)*(1+Assumptions!$D$74)</f>
        <v>16818.75</v>
      </c>
      <c r="AH9" s="272">
        <f>U9*(1+Assumptions!$D$73)*(1+Assumptions!$D$74)</f>
        <v>16684.199999999997</v>
      </c>
      <c r="AI9" s="272">
        <f>V9*(1+Assumptions!$D$73)*(1+Assumptions!$D$74)</f>
        <v>12109.499999999998</v>
      </c>
      <c r="AJ9" s="272">
        <f>W9*(1+Assumptions!$D$73)*(1+Assumptions!$D$74)</f>
        <v>11122.8</v>
      </c>
      <c r="AK9" s="306">
        <f>SUM(Y9:AJ9)</f>
        <v>164027.66249999998</v>
      </c>
      <c r="AL9" s="299">
        <f>Y9*(1+Assumptions!$E$73)*(1+Assumptions!$E$74)</f>
        <v>9543.3624</v>
      </c>
      <c r="AM9" s="272">
        <f>Z9*(1+Assumptions!$E$73)*(1+Assumptions!$E$74)</f>
        <v>10146.236099999998</v>
      </c>
      <c r="AN9" s="272">
        <f>AA9*(1+Assumptions!$E$73)*(1+Assumptions!$E$74)</f>
        <v>14315.043600000001</v>
      </c>
      <c r="AO9" s="272">
        <f>AB9*(1+Assumptions!$E$73)*(1+Assumptions!$E$74)</f>
        <v>16931.772000000004</v>
      </c>
      <c r="AP9" s="272">
        <f>AC9*(1+Assumptions!$E$73)*(1+Assumptions!$E$74)</f>
        <v>19086.7248</v>
      </c>
      <c r="AQ9" s="272">
        <f>AD9*(1+Assumptions!$E$73)*(1+Assumptions!$E$74)</f>
        <v>16931.772000000004</v>
      </c>
      <c r="AR9" s="272">
        <f>AE9*(1+Assumptions!$E$73)*(1+Assumptions!$E$74)</f>
        <v>15905.603999999999</v>
      </c>
      <c r="AS9" s="272">
        <f>AF9*(1+Assumptions!$E$73)*(1+Assumptions!$E$74)</f>
        <v>19882.005000000001</v>
      </c>
      <c r="AT9" s="272">
        <f>AG9*(1+Assumptions!$E$73)*(1+Assumptions!$E$74)</f>
        <v>19240.650000000001</v>
      </c>
      <c r="AU9" s="272">
        <f>AH9*(1+Assumptions!$E$73)*(1+Assumptions!$E$74)</f>
        <v>19086.7248</v>
      </c>
      <c r="AV9" s="272">
        <f>AI9*(1+Assumptions!$E$73)*(1+Assumptions!$E$74)</f>
        <v>13853.268</v>
      </c>
      <c r="AW9" s="272">
        <f>AJ9*(1+Assumptions!$E$73)*(1+Assumptions!$E$74)</f>
        <v>12724.483200000001</v>
      </c>
      <c r="AX9" s="306">
        <f>SUM(AL9:AW9)</f>
        <v>187647.6459</v>
      </c>
      <c r="AY9" s="299">
        <f>AL9*(1+Assumptions!$F$73)*(1+Assumptions!$F$74)</f>
        <v>10020.53052</v>
      </c>
      <c r="AZ9" s="272">
        <f>AM9*(1+Assumptions!$F$73)*(1+Assumptions!$F$74)</f>
        <v>10653.547904999999</v>
      </c>
      <c r="BA9" s="272">
        <f>AN9*(1+Assumptions!$F$73)*(1+Assumptions!$F$74)</f>
        <v>15030.795780000002</v>
      </c>
      <c r="BB9" s="272">
        <f>AO9*(1+Assumptions!$F$73)*(1+Assumptions!$F$74)</f>
        <v>17778.360600000007</v>
      </c>
      <c r="BC9" s="272">
        <f>AP9*(1+Assumptions!$F$73)*(1+Assumptions!$F$74)</f>
        <v>20041.061040000001</v>
      </c>
      <c r="BD9" s="272">
        <f>AQ9*(1+Assumptions!$F$73)*(1+Assumptions!$F$74)</f>
        <v>17778.360600000007</v>
      </c>
      <c r="BE9" s="272">
        <f>AR9*(1+Assumptions!$F$73)*(1+Assumptions!$F$74)</f>
        <v>16700.8842</v>
      </c>
      <c r="BF9" s="272">
        <f>AS9*(1+Assumptions!$F$73)*(1+Assumptions!$F$74)</f>
        <v>20876.105250000001</v>
      </c>
      <c r="BG9" s="272">
        <f>AT9*(1+Assumptions!$F$73)*(1+Assumptions!$F$74)</f>
        <v>20202.682500000003</v>
      </c>
      <c r="BH9" s="272">
        <f>AU9*(1+Assumptions!$F$73)*(1+Assumptions!$F$74)</f>
        <v>20041.061040000001</v>
      </c>
      <c r="BI9" s="272">
        <f>AV9*(1+Assumptions!$F$73)*(1+Assumptions!$F$74)</f>
        <v>14545.931400000001</v>
      </c>
      <c r="BJ9" s="272">
        <f>AW9*(1+Assumptions!$F$73)*(1+Assumptions!$F$74)</f>
        <v>13360.70736</v>
      </c>
      <c r="BK9" s="306">
        <f>SUM(AY9:BJ9)</f>
        <v>197030.02819500002</v>
      </c>
      <c r="BL9" s="299">
        <f>AY9*(1+Assumptions!$G$73)*(1+Assumptions!$G$74)</f>
        <v>10942.41932784</v>
      </c>
      <c r="BM9" s="272">
        <f>AZ9*(1+Assumptions!$G$73)*(1+Assumptions!$G$74)</f>
        <v>11633.67431226</v>
      </c>
      <c r="BN9" s="272">
        <f>BA9*(1+Assumptions!$G$73)*(1+Assumptions!$G$74)</f>
        <v>16413.628991760004</v>
      </c>
      <c r="BO9" s="272">
        <f>BB9*(1+Assumptions!$G$73)*(1+Assumptions!$G$74)</f>
        <v>19413.96977520001</v>
      </c>
      <c r="BP9" s="272">
        <f>BC9*(1+Assumptions!$G$73)*(1+Assumptions!$G$74)</f>
        <v>21884.83865568</v>
      </c>
      <c r="BQ9" s="272">
        <f>BD9*(1+Assumptions!$G$73)*(1+Assumptions!$G$74)</f>
        <v>19413.96977520001</v>
      </c>
      <c r="BR9" s="272">
        <f>BE9*(1+Assumptions!$G$73)*(1+Assumptions!$G$74)</f>
        <v>18237.3655464</v>
      </c>
      <c r="BS9" s="272">
        <f>BF9*(1+Assumptions!$G$73)*(1+Assumptions!$G$74)</f>
        <v>22796.706933000005</v>
      </c>
      <c r="BT9" s="272">
        <f>BG9*(1+Assumptions!$G$73)*(1+Assumptions!$G$74)</f>
        <v>22061.329290000005</v>
      </c>
      <c r="BU9" s="272">
        <f>BH9*(1+Assumptions!$G$73)*(1+Assumptions!$G$74)</f>
        <v>21884.83865568</v>
      </c>
      <c r="BV9" s="272">
        <f>BI9*(1+Assumptions!$G$73)*(1+Assumptions!$G$74)</f>
        <v>15884.157088800002</v>
      </c>
      <c r="BW9" s="272">
        <f>BJ9*(1+Assumptions!$G$73)*(1+Assumptions!$G$74)</f>
        <v>14589.892437120001</v>
      </c>
      <c r="BX9" s="272">
        <f>SUM(BL9:BW9)</f>
        <v>215156.79078894004</v>
      </c>
      <c r="BY9" s="92"/>
    </row>
    <row r="10" spans="1:77" ht="14.25" customHeight="1">
      <c r="A10" s="92"/>
      <c r="B10" s="276">
        <v>9</v>
      </c>
      <c r="C10" s="92"/>
      <c r="D10" s="92"/>
      <c r="E10" s="92"/>
      <c r="F10" s="92"/>
      <c r="G10" s="92"/>
      <c r="H10" s="92"/>
      <c r="I10" s="92"/>
      <c r="J10" s="255" t="s">
        <v>505</v>
      </c>
      <c r="K10" s="92"/>
      <c r="L10" s="272">
        <f>'Year 1 Traffic'!B23*'Beer Revenue'!$B$10</f>
        <v>3819.1114285714284</v>
      </c>
      <c r="M10" s="272">
        <f>'Year 1 Traffic'!C23*'Beer Revenue'!$B$10</f>
        <v>4060.3724999999995</v>
      </c>
      <c r="N10" s="272">
        <f>'Year 1 Traffic'!D23*'Beer Revenue'!$B$10</f>
        <v>5728.6671428571435</v>
      </c>
      <c r="O10" s="272">
        <f>'Year 1 Traffic'!E23*'Beer Revenue'!$B$10</f>
        <v>6775.8428571428567</v>
      </c>
      <c r="P10" s="272">
        <f>'Year 1 Traffic'!F23*'Beer Revenue'!$B$10</f>
        <v>7638.2228571428568</v>
      </c>
      <c r="Q10" s="272">
        <f>'Year 1 Traffic'!G23*'Beer Revenue'!$B$10</f>
        <v>6775.8428571428567</v>
      </c>
      <c r="R10" s="272">
        <f>'Year 1 Traffic'!H23*'Beer Revenue'!$B$10</f>
        <v>6365.1857142857143</v>
      </c>
      <c r="S10" s="272">
        <f>'Year 1 Traffic'!I23*'Beer Revenue'!$B$10</f>
        <v>7956.4821428571431</v>
      </c>
      <c r="T10" s="272">
        <f>'Year 1 Traffic'!J23*'Beer Revenue'!$B$10</f>
        <v>7699.8214285714275</v>
      </c>
      <c r="U10" s="272">
        <f>'Year 1 Traffic'!K23*'Beer Revenue'!$B$10</f>
        <v>7638.2228571428568</v>
      </c>
      <c r="V10" s="272">
        <f>'Year 1 Traffic'!L23*'Beer Revenue'!$B$10</f>
        <v>5543.8714285714286</v>
      </c>
      <c r="W10" s="272">
        <f>'Year 1 Traffic'!M23*'Beer Revenue'!$B$10</f>
        <v>5092.1485714285718</v>
      </c>
      <c r="X10" s="289">
        <f>SUM(L10:W10)</f>
        <v>75093.791785714275</v>
      </c>
      <c r="Y10" s="299">
        <f>L10*(1+Assumptions!$D$73)*(1+Assumptions!$D$74)</f>
        <v>4391.9781428571423</v>
      </c>
      <c r="Z10" s="272">
        <f>M10*(1+Assumptions!$D$73)*(1+Assumptions!$D$74)</f>
        <v>4669.4283749999995</v>
      </c>
      <c r="AA10" s="272">
        <f>N10*(1+Assumptions!$D$73)*(1+Assumptions!$D$74)</f>
        <v>6587.9672142857144</v>
      </c>
      <c r="AB10" s="272">
        <f>O10*(1+Assumptions!$D$73)*(1+Assumptions!$D$74)</f>
        <v>7792.2192857142845</v>
      </c>
      <c r="AC10" s="272">
        <f>P10*(1+Assumptions!$D$73)*(1+Assumptions!$D$74)</f>
        <v>8783.9562857142846</v>
      </c>
      <c r="AD10" s="272">
        <f>Q10*(1+Assumptions!$D$73)*(1+Assumptions!$D$74)</f>
        <v>7792.2192857142845</v>
      </c>
      <c r="AE10" s="272">
        <f>R10*(1+Assumptions!$D$73)*(1+Assumptions!$D$74)</f>
        <v>7319.9635714285705</v>
      </c>
      <c r="AF10" s="272">
        <f>S10*(1+Assumptions!$D$73)*(1+Assumptions!$D$74)</f>
        <v>9149.9544642857145</v>
      </c>
      <c r="AG10" s="272">
        <f>T10*(1+Assumptions!$D$73)*(1+Assumptions!$D$74)</f>
        <v>8854.7946428571413</v>
      </c>
      <c r="AH10" s="272">
        <f>U10*(1+Assumptions!$D$73)*(1+Assumptions!$D$74)</f>
        <v>8783.9562857142846</v>
      </c>
      <c r="AI10" s="272">
        <f>V10*(1+Assumptions!$D$73)*(1+Assumptions!$D$74)</f>
        <v>6375.4521428571425</v>
      </c>
      <c r="AJ10" s="272">
        <f>W10*(1+Assumptions!$D$73)*(1+Assumptions!$D$74)</f>
        <v>5855.9708571428573</v>
      </c>
      <c r="AK10" s="306">
        <f>SUM(Y10:AJ10)</f>
        <v>86357.860553571431</v>
      </c>
      <c r="AL10" s="299">
        <f>Y10*(1+Assumptions!$E$73)*(1+Assumptions!$E$74)</f>
        <v>5024.4229954285711</v>
      </c>
      <c r="AM10" s="272">
        <f>Z10*(1+Assumptions!$E$73)*(1+Assumptions!$E$74)</f>
        <v>5341.8260610000007</v>
      </c>
      <c r="AN10" s="272">
        <f>AA10*(1+Assumptions!$E$73)*(1+Assumptions!$E$74)</f>
        <v>7536.6344931428575</v>
      </c>
      <c r="AO10" s="272">
        <f>AB10*(1+Assumptions!$E$73)*(1+Assumptions!$E$74)</f>
        <v>8914.2988628571438</v>
      </c>
      <c r="AP10" s="272">
        <f>AC10*(1+Assumptions!$E$73)*(1+Assumptions!$E$74)</f>
        <v>10048.845990857142</v>
      </c>
      <c r="AQ10" s="272">
        <f>AD10*(1+Assumptions!$E$73)*(1+Assumptions!$E$74)</f>
        <v>8914.2988628571438</v>
      </c>
      <c r="AR10" s="272">
        <f>AE10*(1+Assumptions!$E$73)*(1+Assumptions!$E$74)</f>
        <v>8374.0383257142857</v>
      </c>
      <c r="AS10" s="272">
        <f>AF10*(1+Assumptions!$E$73)*(1+Assumptions!$E$74)</f>
        <v>10467.54790714286</v>
      </c>
      <c r="AT10" s="272">
        <f>AG10*(1+Assumptions!$E$73)*(1+Assumptions!$E$74)</f>
        <v>10129.885071428571</v>
      </c>
      <c r="AU10" s="272">
        <f>AH10*(1+Assumptions!$E$73)*(1+Assumptions!$E$74)</f>
        <v>10048.845990857142</v>
      </c>
      <c r="AV10" s="272">
        <f>AI10*(1+Assumptions!$E$73)*(1+Assumptions!$E$74)</f>
        <v>7293.5172514285714</v>
      </c>
      <c r="AW10" s="272">
        <f>AJ10*(1+Assumptions!$E$73)*(1+Assumptions!$E$74)</f>
        <v>6699.2306605714302</v>
      </c>
      <c r="AX10" s="306">
        <f>SUM(AL10:AW10)</f>
        <v>98793.392473285698</v>
      </c>
      <c r="AY10" s="299">
        <f>AL10*(1+Assumptions!$F$73)*(1+Assumptions!$F$74)</f>
        <v>5275.6441451999999</v>
      </c>
      <c r="AZ10" s="272">
        <f>AM10*(1+Assumptions!$F$73)*(1+Assumptions!$F$74)</f>
        <v>5608.9173640500012</v>
      </c>
      <c r="BA10" s="272">
        <f>AN10*(1+Assumptions!$F$73)*(1+Assumptions!$F$74)</f>
        <v>7913.4662178000008</v>
      </c>
      <c r="BB10" s="272">
        <f>AO10*(1+Assumptions!$F$73)*(1+Assumptions!$F$74)</f>
        <v>9360.0138060000008</v>
      </c>
      <c r="BC10" s="272">
        <f>AP10*(1+Assumptions!$F$73)*(1+Assumptions!$F$74)</f>
        <v>10551.2882904</v>
      </c>
      <c r="BD10" s="272">
        <f>AQ10*(1+Assumptions!$F$73)*(1+Assumptions!$F$74)</f>
        <v>9360.0138060000008</v>
      </c>
      <c r="BE10" s="272">
        <f>AR10*(1+Assumptions!$F$73)*(1+Assumptions!$F$74)</f>
        <v>8792.7402419999999</v>
      </c>
      <c r="BF10" s="272">
        <f>AS10*(1+Assumptions!$F$73)*(1+Assumptions!$F$74)</f>
        <v>10990.925302500003</v>
      </c>
      <c r="BG10" s="272">
        <f>AT10*(1+Assumptions!$F$73)*(1+Assumptions!$F$74)</f>
        <v>10636.379325</v>
      </c>
      <c r="BH10" s="272">
        <f>AU10*(1+Assumptions!$F$73)*(1+Assumptions!$F$74)</f>
        <v>10551.2882904</v>
      </c>
      <c r="BI10" s="272">
        <f>AV10*(1+Assumptions!$F$73)*(1+Assumptions!$F$74)</f>
        <v>7658.1931140000006</v>
      </c>
      <c r="BJ10" s="272">
        <f>AW10*(1+Assumptions!$F$73)*(1+Assumptions!$F$74)</f>
        <v>7034.1921936000017</v>
      </c>
      <c r="BK10" s="306">
        <f>SUM(AY10:BJ10)</f>
        <v>103733.06209695</v>
      </c>
      <c r="BL10" s="299">
        <f>AY10*(1+Assumptions!$G$73)*(1+Assumptions!$G$74)</f>
        <v>5761.0034065584005</v>
      </c>
      <c r="BM10" s="272">
        <f>AZ10*(1+Assumptions!$G$73)*(1+Assumptions!$G$74)</f>
        <v>6124.9377615426019</v>
      </c>
      <c r="BN10" s="272">
        <f>BA10*(1+Assumptions!$G$73)*(1+Assumptions!$G$74)</f>
        <v>8641.5051098376007</v>
      </c>
      <c r="BO10" s="272">
        <f>BB10*(1+Assumptions!$G$73)*(1+Assumptions!$G$74)</f>
        <v>10221.135076152003</v>
      </c>
      <c r="BP10" s="272">
        <f>BC10*(1+Assumptions!$G$73)*(1+Assumptions!$G$74)</f>
        <v>11522.006813116801</v>
      </c>
      <c r="BQ10" s="272">
        <f>BD10*(1+Assumptions!$G$73)*(1+Assumptions!$G$74)</f>
        <v>10221.135076152003</v>
      </c>
      <c r="BR10" s="272">
        <f>BE10*(1+Assumptions!$G$73)*(1+Assumptions!$G$74)</f>
        <v>9601.6723442639995</v>
      </c>
      <c r="BS10" s="272">
        <f>BF10*(1+Assumptions!$G$73)*(1+Assumptions!$G$74)</f>
        <v>12002.090430330005</v>
      </c>
      <c r="BT10" s="272">
        <f>BG10*(1+Assumptions!$G$73)*(1+Assumptions!$G$74)</f>
        <v>11614.926222900001</v>
      </c>
      <c r="BU10" s="272">
        <f>BH10*(1+Assumptions!$G$73)*(1+Assumptions!$G$74)</f>
        <v>11522.006813116801</v>
      </c>
      <c r="BV10" s="272">
        <f>BI10*(1+Assumptions!$G$73)*(1+Assumptions!$G$74)</f>
        <v>8362.7468804880009</v>
      </c>
      <c r="BW10" s="272">
        <f>BJ10*(1+Assumptions!$G$73)*(1+Assumptions!$G$74)</f>
        <v>7681.3378754112027</v>
      </c>
      <c r="BX10" s="272">
        <f>SUM(BL10:BW10)</f>
        <v>113276.50380986941</v>
      </c>
      <c r="BY10" s="92"/>
    </row>
    <row r="11" spans="1:77" ht="14.25" customHeight="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288"/>
      <c r="Y11" s="294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304"/>
      <c r="AL11" s="294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304"/>
      <c r="AY11" s="294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304"/>
      <c r="BL11" s="294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</row>
    <row r="12" spans="1:77" ht="14.5">
      <c r="A12" s="91" t="s">
        <v>242</v>
      </c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288"/>
      <c r="Y12" s="294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304"/>
      <c r="AL12" s="294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304"/>
      <c r="AY12" s="294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304"/>
      <c r="BL12" s="294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</row>
    <row r="13" spans="1:77" ht="14.5">
      <c r="A13" s="92"/>
      <c r="B13" s="92"/>
      <c r="C13" s="92"/>
      <c r="D13" s="92"/>
      <c r="E13" s="92"/>
      <c r="F13" s="92"/>
      <c r="G13" s="274" t="s">
        <v>455</v>
      </c>
      <c r="H13" s="274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288"/>
      <c r="Y13" s="294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304"/>
      <c r="AL13" s="294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304"/>
      <c r="AY13" s="294"/>
      <c r="AZ13" s="92"/>
      <c r="BA13" s="92"/>
      <c r="BB13" s="92"/>
      <c r="BC13" s="92"/>
      <c r="BD13" s="92"/>
      <c r="BE13" s="92"/>
      <c r="BF13" s="92"/>
      <c r="BG13" s="92"/>
      <c r="BH13" s="92"/>
      <c r="BI13" s="92"/>
      <c r="BJ13" s="92"/>
      <c r="BK13" s="304"/>
      <c r="BL13" s="294"/>
      <c r="BM13" s="92"/>
      <c r="BN13" s="92"/>
      <c r="BO13" s="92"/>
      <c r="BP13" s="92"/>
      <c r="BQ13" s="92"/>
      <c r="BR13" s="92"/>
      <c r="BS13" s="92"/>
      <c r="BT13" s="92"/>
      <c r="BU13" s="92"/>
      <c r="BV13" s="92"/>
      <c r="BW13" s="92"/>
      <c r="BX13" s="92"/>
      <c r="BY13" s="92"/>
    </row>
    <row r="14" spans="1:77" ht="14.5">
      <c r="A14" s="92"/>
      <c r="B14" s="92" t="s">
        <v>533</v>
      </c>
      <c r="C14" s="92"/>
      <c r="D14" s="92"/>
      <c r="E14" s="92"/>
      <c r="F14" s="92"/>
      <c r="G14" s="273" t="s">
        <v>510</v>
      </c>
      <c r="H14" s="273" t="s">
        <v>519</v>
      </c>
      <c r="I14" s="255" t="s">
        <v>511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288"/>
      <c r="Y14" s="294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304"/>
      <c r="AL14" s="294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304"/>
      <c r="AY14" s="294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304"/>
      <c r="BL14" s="294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</row>
    <row r="15" spans="1:77" ht="14.5">
      <c r="A15" s="92"/>
      <c r="B15" s="276">
        <v>5</v>
      </c>
      <c r="C15" s="272">
        <f>B15*(1+Assumptions!D$74)</f>
        <v>5</v>
      </c>
      <c r="D15" s="272">
        <f>C15*(1+Assumptions!E$74)</f>
        <v>5.2</v>
      </c>
      <c r="E15" s="272">
        <f>D15*(1+Assumptions!F$74)</f>
        <v>5.2</v>
      </c>
      <c r="F15" s="272">
        <f>E15*(1+Assumptions!G$74)</f>
        <v>5.4080000000000004</v>
      </c>
      <c r="G15" s="277">
        <v>14</v>
      </c>
      <c r="H15" s="280">
        <f>B15/G15*128*31</f>
        <v>1417.1428571428571</v>
      </c>
      <c r="I15" s="278">
        <v>0.2</v>
      </c>
      <c r="J15" s="277" t="s">
        <v>506</v>
      </c>
      <c r="K15" s="92"/>
      <c r="L15" s="107">
        <f>'Year 1 Traffic'!B$24*'Beer Revenue'!$I15</f>
        <v>667.63371428571429</v>
      </c>
      <c r="M15" s="107">
        <f>'Year 1 Traffic'!C$24*'Beer Revenue'!$I15</f>
        <v>709.80949999999996</v>
      </c>
      <c r="N15" s="107">
        <f>'Year 1 Traffic'!D$24*'Beer Revenue'!$I15</f>
        <v>1001.4505714285715</v>
      </c>
      <c r="O15" s="107">
        <f>'Year 1 Traffic'!E$24*'Beer Revenue'!$I15</f>
        <v>1184.5114285714287</v>
      </c>
      <c r="P15" s="107">
        <f>'Year 1 Traffic'!F$24*'Beer Revenue'!$I15</f>
        <v>1335.2674285714286</v>
      </c>
      <c r="Q15" s="107">
        <f>'Year 1 Traffic'!G$24*'Beer Revenue'!$I15</f>
        <v>1184.5114285714287</v>
      </c>
      <c r="R15" s="107">
        <f>'Year 1 Traffic'!H$24*'Beer Revenue'!$I15</f>
        <v>1112.7228571428573</v>
      </c>
      <c r="S15" s="107">
        <f>'Year 1 Traffic'!I$24*'Beer Revenue'!$I15</f>
        <v>1390.9035714285715</v>
      </c>
      <c r="T15" s="107">
        <f>'Year 1 Traffic'!J$24*'Beer Revenue'!$I15</f>
        <v>1346.0357142857142</v>
      </c>
      <c r="U15" s="107">
        <f>'Year 1 Traffic'!K$24*'Beer Revenue'!$I15</f>
        <v>1335.2674285714286</v>
      </c>
      <c r="V15" s="107">
        <f>'Year 1 Traffic'!L$24*'Beer Revenue'!$I15</f>
        <v>969.14571428571435</v>
      </c>
      <c r="W15" s="107">
        <f>'Year 1 Traffic'!M$24*'Beer Revenue'!$I15</f>
        <v>890.17828571428583</v>
      </c>
      <c r="X15" s="288">
        <f t="shared" ref="X15:X40" si="4">SUM(L15:W15)</f>
        <v>13127.437642857143</v>
      </c>
      <c r="Y15" s="300">
        <f>L15*(1+Assumptions!$D$73)</f>
        <v>767.77877142857142</v>
      </c>
      <c r="Z15" s="107">
        <f>M15*(1+Assumptions!$D$73)</f>
        <v>816.28092499999991</v>
      </c>
      <c r="AA15" s="107">
        <f>N15*(1+Assumptions!$D$73)</f>
        <v>1151.6681571428571</v>
      </c>
      <c r="AB15" s="107">
        <f>O15*(1+Assumptions!$D$73)</f>
        <v>1362.188142857143</v>
      </c>
      <c r="AC15" s="107">
        <f>P15*(1+Assumptions!$D$73)</f>
        <v>1535.5575428571428</v>
      </c>
      <c r="AD15" s="107">
        <f>Q15*(1+Assumptions!$D$73)</f>
        <v>1362.188142857143</v>
      </c>
      <c r="AE15" s="107">
        <f>R15*(1+Assumptions!$D$73)</f>
        <v>1279.6312857142857</v>
      </c>
      <c r="AF15" s="107">
        <f>S15*(1+Assumptions!$D$73)</f>
        <v>1599.5391071428571</v>
      </c>
      <c r="AG15" s="107">
        <f>T15*(1+Assumptions!$D$73)</f>
        <v>1547.9410714285711</v>
      </c>
      <c r="AH15" s="107">
        <f>U15*(1+Assumptions!$D$73)</f>
        <v>1535.5575428571428</v>
      </c>
      <c r="AI15" s="107">
        <f>V15*(1+Assumptions!$D$73)</f>
        <v>1114.5175714285715</v>
      </c>
      <c r="AJ15" s="107">
        <f>W15*(1+Assumptions!$D$73)</f>
        <v>1023.7050285714287</v>
      </c>
      <c r="AK15" s="288">
        <f t="shared" ref="AK15:AK27" si="5">SUM(Y15:AJ15)</f>
        <v>15096.553289285715</v>
      </c>
      <c r="AL15" s="300">
        <f>Y15*(1+Assumptions!$E$73)</f>
        <v>844.55664857142858</v>
      </c>
      <c r="AM15" s="107">
        <f>Z15*(1+Assumptions!$E$73)</f>
        <v>897.9090175</v>
      </c>
      <c r="AN15" s="107">
        <f>AA15*(1+Assumptions!$E$73)</f>
        <v>1266.8349728571429</v>
      </c>
      <c r="AO15" s="107">
        <f>AB15*(1+Assumptions!$E$73)</f>
        <v>1498.4069571428574</v>
      </c>
      <c r="AP15" s="107">
        <f>AC15*(1+Assumptions!$E$73)</f>
        <v>1689.1132971428572</v>
      </c>
      <c r="AQ15" s="107">
        <f>AD15*(1+Assumptions!$E$73)</f>
        <v>1498.4069571428574</v>
      </c>
      <c r="AR15" s="107">
        <f>AE15*(1+Assumptions!$E$73)</f>
        <v>1407.5944142857143</v>
      </c>
      <c r="AS15" s="107">
        <f>AF15*(1+Assumptions!$E$73)</f>
        <v>1759.4930178571431</v>
      </c>
      <c r="AT15" s="107">
        <f>AG15*(1+Assumptions!$E$73)</f>
        <v>1702.7351785714284</v>
      </c>
      <c r="AU15" s="107">
        <f>AH15*(1+Assumptions!$E$73)</f>
        <v>1689.1132971428572</v>
      </c>
      <c r="AV15" s="107">
        <f>AI15*(1+Assumptions!$E$73)</f>
        <v>1225.9693285714288</v>
      </c>
      <c r="AW15" s="107">
        <f>AJ15*(1+Assumptions!$E$73)</f>
        <v>1126.0755314285716</v>
      </c>
      <c r="AX15" s="288">
        <f t="shared" ref="AX15:AX27" si="6">SUM(AL15:AW15)</f>
        <v>16606.208618214288</v>
      </c>
      <c r="AY15" s="300">
        <f>AL15*(1+Assumptions!$F$73)</f>
        <v>886.78448100000003</v>
      </c>
      <c r="AZ15" s="107">
        <f>AM15*(1+Assumptions!$F$73)</f>
        <v>942.80446837500006</v>
      </c>
      <c r="BA15" s="107">
        <f>AN15*(1+Assumptions!$F$73)</f>
        <v>1330.1767215000002</v>
      </c>
      <c r="BB15" s="107">
        <f>AO15*(1+Assumptions!$F$73)</f>
        <v>1573.3273050000005</v>
      </c>
      <c r="BC15" s="107">
        <f>AP15*(1+Assumptions!$F$73)</f>
        <v>1773.5689620000001</v>
      </c>
      <c r="BD15" s="107">
        <f>AQ15*(1+Assumptions!$F$73)</f>
        <v>1573.3273050000005</v>
      </c>
      <c r="BE15" s="107">
        <f>AR15*(1+Assumptions!$F$73)</f>
        <v>1477.9741349999999</v>
      </c>
      <c r="BF15" s="107">
        <f>AS15*(1+Assumptions!$F$73)</f>
        <v>1847.4676687500003</v>
      </c>
      <c r="BG15" s="107">
        <f>AT15*(1+Assumptions!$F$73)</f>
        <v>1787.8719374999998</v>
      </c>
      <c r="BH15" s="107">
        <f>AU15*(1+Assumptions!$F$73)</f>
        <v>1773.5689620000001</v>
      </c>
      <c r="BI15" s="107">
        <f>AV15*(1+Assumptions!$F$73)</f>
        <v>1287.2677950000004</v>
      </c>
      <c r="BJ15" s="107">
        <f>AW15*(1+Assumptions!$F$73)</f>
        <v>1182.3793080000003</v>
      </c>
      <c r="BK15" s="288">
        <f t="shared" ref="BK15:BK27" si="7">SUM(AY15:BJ15)</f>
        <v>17436.519049125</v>
      </c>
      <c r="BL15" s="300">
        <f>AY15*(1+Assumptions!$G$73)</f>
        <v>931.12370505000001</v>
      </c>
      <c r="BM15" s="107">
        <f>AZ15*(1+Assumptions!$G$73)</f>
        <v>989.94469179375005</v>
      </c>
      <c r="BN15" s="107">
        <f>BA15*(1+Assumptions!$G$73)</f>
        <v>1396.6855575750003</v>
      </c>
      <c r="BO15" s="107">
        <f>BB15*(1+Assumptions!$G$73)</f>
        <v>1651.9936702500006</v>
      </c>
      <c r="BP15" s="107">
        <f>BC15*(1+Assumptions!$G$73)</f>
        <v>1862.2474101</v>
      </c>
      <c r="BQ15" s="107">
        <f>BD15*(1+Assumptions!$G$73)</f>
        <v>1651.9936702500006</v>
      </c>
      <c r="BR15" s="107">
        <f>BE15*(1+Assumptions!$G$73)</f>
        <v>1551.8728417499999</v>
      </c>
      <c r="BS15" s="107">
        <f>BF15*(1+Assumptions!$G$73)</f>
        <v>1939.8410521875003</v>
      </c>
      <c r="BT15" s="107">
        <f>BG15*(1+Assumptions!$G$73)</f>
        <v>1877.2655343749998</v>
      </c>
      <c r="BU15" s="107">
        <f>BH15*(1+Assumptions!$G$73)</f>
        <v>1862.2474101</v>
      </c>
      <c r="BV15" s="107">
        <f>BI15*(1+Assumptions!$G$73)</f>
        <v>1351.6311847500006</v>
      </c>
      <c r="BW15" s="107">
        <f>BJ15*(1+Assumptions!$G$73)</f>
        <v>1241.4982734000002</v>
      </c>
      <c r="BX15" s="288">
        <f t="shared" ref="BX15:BX27" si="8">SUM(BL15:BW15)</f>
        <v>18308.345001581256</v>
      </c>
      <c r="BY15" s="102">
        <f>X15+AK15+AX15+BK15+BX15</f>
        <v>80575.063601063404</v>
      </c>
    </row>
    <row r="16" spans="1:77" ht="14.5">
      <c r="A16" s="92"/>
      <c r="B16" s="276">
        <v>6.5</v>
      </c>
      <c r="C16" s="272">
        <f>B16*(1+Assumptions!D$74)</f>
        <v>6.5</v>
      </c>
      <c r="D16" s="272">
        <f>C16*(1+Assumptions!E$74)</f>
        <v>6.76</v>
      </c>
      <c r="E16" s="272">
        <f>D16*(1+Assumptions!F$74)</f>
        <v>6.76</v>
      </c>
      <c r="F16" s="272">
        <f>E16*(1+Assumptions!G$74)</f>
        <v>7.0304000000000002</v>
      </c>
      <c r="G16" s="277">
        <v>14</v>
      </c>
      <c r="H16" s="280">
        <f t="shared" ref="H16:H23" si="9">B16/G16*128*31</f>
        <v>1842.2857142857144</v>
      </c>
      <c r="I16" s="278">
        <v>0.3</v>
      </c>
      <c r="J16" s="277" t="s">
        <v>574</v>
      </c>
      <c r="K16" s="92"/>
      <c r="L16" s="107">
        <f>'Year 1 Traffic'!B$24*'Beer Revenue'!$I16</f>
        <v>1001.4505714285714</v>
      </c>
      <c r="M16" s="107">
        <f>'Year 1 Traffic'!C$24*'Beer Revenue'!$I16</f>
        <v>1064.7142499999998</v>
      </c>
      <c r="N16" s="107">
        <f>'Year 1 Traffic'!D$24*'Beer Revenue'!$I16</f>
        <v>1502.1758571428572</v>
      </c>
      <c r="O16" s="107">
        <f>'Year 1 Traffic'!E$24*'Beer Revenue'!$I16</f>
        <v>1776.7671428571427</v>
      </c>
      <c r="P16" s="107">
        <f>'Year 1 Traffic'!F$24*'Beer Revenue'!$I16</f>
        <v>2002.9011428571428</v>
      </c>
      <c r="Q16" s="107">
        <f>'Year 1 Traffic'!G$24*'Beer Revenue'!$I16</f>
        <v>1776.7671428571427</v>
      </c>
      <c r="R16" s="107">
        <f>'Year 1 Traffic'!H$24*'Beer Revenue'!$I16</f>
        <v>1669.0842857142857</v>
      </c>
      <c r="S16" s="107">
        <f>'Year 1 Traffic'!I$24*'Beer Revenue'!$I16</f>
        <v>2086.355357142857</v>
      </c>
      <c r="T16" s="107">
        <f>'Year 1 Traffic'!J$24*'Beer Revenue'!$I16</f>
        <v>2019.0535714285711</v>
      </c>
      <c r="U16" s="107">
        <f>'Year 1 Traffic'!K$24*'Beer Revenue'!$I16</f>
        <v>2002.9011428571428</v>
      </c>
      <c r="V16" s="107">
        <f>'Year 1 Traffic'!L$24*'Beer Revenue'!$I16</f>
        <v>1453.7185714285715</v>
      </c>
      <c r="W16" s="107">
        <f>'Year 1 Traffic'!M$24*'Beer Revenue'!$I16</f>
        <v>1335.2674285714286</v>
      </c>
      <c r="X16" s="288">
        <f t="shared" si="4"/>
        <v>19691.156464285708</v>
      </c>
      <c r="Y16" s="300">
        <f>L16*(1+Assumptions!$D$73)</f>
        <v>1151.6681571428569</v>
      </c>
      <c r="Z16" s="107">
        <f>M16*(1+Assumptions!$D$73)</f>
        <v>1224.4213874999996</v>
      </c>
      <c r="AA16" s="107">
        <f>N16*(1+Assumptions!$D$73)</f>
        <v>1727.5022357142857</v>
      </c>
      <c r="AB16" s="107">
        <f>O16*(1+Assumptions!$D$73)</f>
        <v>2043.282214285714</v>
      </c>
      <c r="AC16" s="107">
        <f>P16*(1+Assumptions!$D$73)</f>
        <v>2303.3363142857138</v>
      </c>
      <c r="AD16" s="107">
        <f>Q16*(1+Assumptions!$D$73)</f>
        <v>2043.282214285714</v>
      </c>
      <c r="AE16" s="107">
        <f>R16*(1+Assumptions!$D$73)</f>
        <v>1919.4469285714283</v>
      </c>
      <c r="AF16" s="107">
        <f>S16*(1+Assumptions!$D$73)</f>
        <v>2399.3086607142855</v>
      </c>
      <c r="AG16" s="107">
        <f>T16*(1+Assumptions!$D$73)</f>
        <v>2321.9116071428566</v>
      </c>
      <c r="AH16" s="107">
        <f>U16*(1+Assumptions!$D$73)</f>
        <v>2303.3363142857138</v>
      </c>
      <c r="AI16" s="107">
        <f>V16*(1+Assumptions!$D$73)</f>
        <v>1671.776357142857</v>
      </c>
      <c r="AJ16" s="107">
        <f>W16*(1+Assumptions!$D$73)</f>
        <v>1535.5575428571428</v>
      </c>
      <c r="AK16" s="288">
        <f t="shared" si="5"/>
        <v>22644.82993392857</v>
      </c>
      <c r="AL16" s="300">
        <f>Y16*(1+Assumptions!$E$73)</f>
        <v>1266.8349728571427</v>
      </c>
      <c r="AM16" s="107">
        <f>Z16*(1+Assumptions!$E$73)</f>
        <v>1346.8635262499997</v>
      </c>
      <c r="AN16" s="107">
        <f>AA16*(1+Assumptions!$E$73)</f>
        <v>1900.2524592857144</v>
      </c>
      <c r="AO16" s="107">
        <f>AB16*(1+Assumptions!$E$73)</f>
        <v>2247.6104357142854</v>
      </c>
      <c r="AP16" s="107">
        <f>AC16*(1+Assumptions!$E$73)</f>
        <v>2533.6699457142854</v>
      </c>
      <c r="AQ16" s="107">
        <f>AD16*(1+Assumptions!$E$73)</f>
        <v>2247.6104357142854</v>
      </c>
      <c r="AR16" s="107">
        <f>AE16*(1+Assumptions!$E$73)</f>
        <v>2111.3916214285714</v>
      </c>
      <c r="AS16" s="107">
        <f>AF16*(1+Assumptions!$E$73)</f>
        <v>2639.2395267857141</v>
      </c>
      <c r="AT16" s="107">
        <f>AG16*(1+Assumptions!$E$73)</f>
        <v>2554.1027678571427</v>
      </c>
      <c r="AU16" s="107">
        <f>AH16*(1+Assumptions!$E$73)</f>
        <v>2533.6699457142854</v>
      </c>
      <c r="AV16" s="107">
        <f>AI16*(1+Assumptions!$E$73)</f>
        <v>1838.9539928571428</v>
      </c>
      <c r="AW16" s="107">
        <f>AJ16*(1+Assumptions!$E$73)</f>
        <v>1689.1132971428572</v>
      </c>
      <c r="AX16" s="288">
        <f t="shared" si="6"/>
        <v>24909.312927321425</v>
      </c>
      <c r="AY16" s="300">
        <f>AL16*(1+Assumptions!$F$73)</f>
        <v>1330.1767215</v>
      </c>
      <c r="AZ16" s="107">
        <f>AM16*(1+Assumptions!$F$73)</f>
        <v>1414.2067025624997</v>
      </c>
      <c r="BA16" s="107">
        <f>AN16*(1+Assumptions!$F$73)</f>
        <v>1995.2650822500002</v>
      </c>
      <c r="BB16" s="107">
        <f>AO16*(1+Assumptions!$F$73)</f>
        <v>2359.9909574999997</v>
      </c>
      <c r="BC16" s="107">
        <f>AP16*(1+Assumptions!$F$73)</f>
        <v>2660.353443</v>
      </c>
      <c r="BD16" s="107">
        <f>AQ16*(1+Assumptions!$F$73)</f>
        <v>2359.9909574999997</v>
      </c>
      <c r="BE16" s="107">
        <f>AR16*(1+Assumptions!$F$73)</f>
        <v>2216.9612025000001</v>
      </c>
      <c r="BF16" s="107">
        <f>AS16*(1+Assumptions!$F$73)</f>
        <v>2771.2015031249998</v>
      </c>
      <c r="BG16" s="107">
        <f>AT16*(1+Assumptions!$F$73)</f>
        <v>2681.8079062500001</v>
      </c>
      <c r="BH16" s="107">
        <f>AU16*(1+Assumptions!$F$73)</f>
        <v>2660.353443</v>
      </c>
      <c r="BI16" s="107">
        <f>AV16*(1+Assumptions!$F$73)</f>
        <v>1930.9016925000001</v>
      </c>
      <c r="BJ16" s="107">
        <f>AW16*(1+Assumptions!$F$73)</f>
        <v>1773.5689620000001</v>
      </c>
      <c r="BK16" s="288">
        <f t="shared" si="7"/>
        <v>26154.778573687501</v>
      </c>
      <c r="BL16" s="300">
        <f>AY16*(1+Assumptions!$G$73)</f>
        <v>1396.6855575750001</v>
      </c>
      <c r="BM16" s="107">
        <f>AZ16*(1+Assumptions!$G$73)</f>
        <v>1484.9170376906247</v>
      </c>
      <c r="BN16" s="107">
        <f>BA16*(1+Assumptions!$G$73)</f>
        <v>2095.0283363625003</v>
      </c>
      <c r="BO16" s="107">
        <f>BB16*(1+Assumptions!$G$73)</f>
        <v>2477.9905053749999</v>
      </c>
      <c r="BP16" s="107">
        <f>BC16*(1+Assumptions!$G$73)</f>
        <v>2793.3711151500002</v>
      </c>
      <c r="BQ16" s="107">
        <f>BD16*(1+Assumptions!$G$73)</f>
        <v>2477.9905053749999</v>
      </c>
      <c r="BR16" s="107">
        <f>BE16*(1+Assumptions!$G$73)</f>
        <v>2327.8092626250004</v>
      </c>
      <c r="BS16" s="107">
        <f>BF16*(1+Assumptions!$G$73)</f>
        <v>2909.76157828125</v>
      </c>
      <c r="BT16" s="107">
        <f>BG16*(1+Assumptions!$G$73)</f>
        <v>2815.8983015625004</v>
      </c>
      <c r="BU16" s="107">
        <f>BH16*(1+Assumptions!$G$73)</f>
        <v>2793.3711151500002</v>
      </c>
      <c r="BV16" s="107">
        <f>BI16*(1+Assumptions!$G$73)</f>
        <v>2027.4467771250002</v>
      </c>
      <c r="BW16" s="107">
        <f>BJ16*(1+Assumptions!$G$73)</f>
        <v>1862.2474101</v>
      </c>
      <c r="BX16" s="288">
        <f t="shared" si="8"/>
        <v>27462.51750237188</v>
      </c>
      <c r="BY16" s="102">
        <f t="shared" ref="BY16:BY27" si="10">X16+AK16+AX16+BK16+BX16</f>
        <v>120862.59540159507</v>
      </c>
    </row>
    <row r="17" spans="1:77" ht="14.5">
      <c r="A17" s="92"/>
      <c r="B17" s="276">
        <v>6</v>
      </c>
      <c r="C17" s="272">
        <f>B17*(1+Assumptions!D$74)</f>
        <v>6</v>
      </c>
      <c r="D17" s="272">
        <f>C17*(1+Assumptions!E$74)</f>
        <v>6.24</v>
      </c>
      <c r="E17" s="272">
        <f>D17*(1+Assumptions!F$74)</f>
        <v>6.24</v>
      </c>
      <c r="F17" s="272">
        <f>E17*(1+Assumptions!G$74)</f>
        <v>6.4896000000000003</v>
      </c>
      <c r="G17" s="277">
        <v>11.5</v>
      </c>
      <c r="H17" s="280">
        <f t="shared" si="9"/>
        <v>2070.2608695652175</v>
      </c>
      <c r="I17" s="278">
        <v>0.1</v>
      </c>
      <c r="J17" s="277" t="s">
        <v>575</v>
      </c>
      <c r="K17" s="92"/>
      <c r="L17" s="107">
        <f>'Year 1 Traffic'!B$24*'Beer Revenue'!$I17</f>
        <v>333.81685714285715</v>
      </c>
      <c r="M17" s="107">
        <f>'Year 1 Traffic'!C$24*'Beer Revenue'!$I17</f>
        <v>354.90474999999998</v>
      </c>
      <c r="N17" s="107">
        <f>'Year 1 Traffic'!D$24*'Beer Revenue'!$I17</f>
        <v>500.72528571428575</v>
      </c>
      <c r="O17" s="107">
        <f>'Year 1 Traffic'!E$24*'Beer Revenue'!$I17</f>
        <v>592.25571428571436</v>
      </c>
      <c r="P17" s="107">
        <f>'Year 1 Traffic'!F$24*'Beer Revenue'!$I17</f>
        <v>667.63371428571429</v>
      </c>
      <c r="Q17" s="107">
        <f>'Year 1 Traffic'!G$24*'Beer Revenue'!$I17</f>
        <v>592.25571428571436</v>
      </c>
      <c r="R17" s="107">
        <f>'Year 1 Traffic'!H$24*'Beer Revenue'!$I17</f>
        <v>556.36142857142863</v>
      </c>
      <c r="S17" s="107">
        <f>'Year 1 Traffic'!I$24*'Beer Revenue'!$I17</f>
        <v>695.45178571428573</v>
      </c>
      <c r="T17" s="107">
        <f>'Year 1 Traffic'!J$24*'Beer Revenue'!$I17</f>
        <v>673.01785714285711</v>
      </c>
      <c r="U17" s="107">
        <f>'Year 1 Traffic'!K$24*'Beer Revenue'!$I17</f>
        <v>667.63371428571429</v>
      </c>
      <c r="V17" s="107">
        <f>'Year 1 Traffic'!L$24*'Beer Revenue'!$I17</f>
        <v>484.57285714285717</v>
      </c>
      <c r="W17" s="107">
        <f>'Year 1 Traffic'!M$24*'Beer Revenue'!$I17</f>
        <v>445.08914285714292</v>
      </c>
      <c r="X17" s="288">
        <f t="shared" si="4"/>
        <v>6563.7188214285716</v>
      </c>
      <c r="Y17" s="300">
        <f>L17*(1+Assumptions!$D$73)</f>
        <v>383.88938571428571</v>
      </c>
      <c r="Z17" s="107">
        <f>M17*(1+Assumptions!$D$73)</f>
        <v>408.14046249999996</v>
      </c>
      <c r="AA17" s="107">
        <f>N17*(1+Assumptions!$D$73)</f>
        <v>575.83407857142856</v>
      </c>
      <c r="AB17" s="107">
        <f>O17*(1+Assumptions!$D$73)</f>
        <v>681.09407142857151</v>
      </c>
      <c r="AC17" s="107">
        <f>P17*(1+Assumptions!$D$73)</f>
        <v>767.77877142857142</v>
      </c>
      <c r="AD17" s="107">
        <f>Q17*(1+Assumptions!$D$73)</f>
        <v>681.09407142857151</v>
      </c>
      <c r="AE17" s="107">
        <f>R17*(1+Assumptions!$D$73)</f>
        <v>639.81564285714285</v>
      </c>
      <c r="AF17" s="107">
        <f>S17*(1+Assumptions!$D$73)</f>
        <v>799.76955357142856</v>
      </c>
      <c r="AG17" s="107">
        <f>T17*(1+Assumptions!$D$73)</f>
        <v>773.97053571428557</v>
      </c>
      <c r="AH17" s="107">
        <f>U17*(1+Assumptions!$D$73)</f>
        <v>767.77877142857142</v>
      </c>
      <c r="AI17" s="107">
        <f>V17*(1+Assumptions!$D$73)</f>
        <v>557.25878571428575</v>
      </c>
      <c r="AJ17" s="107">
        <f>W17*(1+Assumptions!$D$73)</f>
        <v>511.85251428571434</v>
      </c>
      <c r="AK17" s="288">
        <f t="shared" si="5"/>
        <v>7548.2766446428577</v>
      </c>
      <c r="AL17" s="300">
        <f>Y17*(1+Assumptions!$E$73)</f>
        <v>422.27832428571429</v>
      </c>
      <c r="AM17" s="107">
        <f>Z17*(1+Assumptions!$E$73)</f>
        <v>448.95450875</v>
      </c>
      <c r="AN17" s="107">
        <f>AA17*(1+Assumptions!$E$73)</f>
        <v>633.41748642857146</v>
      </c>
      <c r="AO17" s="107">
        <f>AB17*(1+Assumptions!$E$73)</f>
        <v>749.20347857142872</v>
      </c>
      <c r="AP17" s="107">
        <f>AC17*(1+Assumptions!$E$73)</f>
        <v>844.55664857142858</v>
      </c>
      <c r="AQ17" s="107">
        <f>AD17*(1+Assumptions!$E$73)</f>
        <v>749.20347857142872</v>
      </c>
      <c r="AR17" s="107">
        <f>AE17*(1+Assumptions!$E$73)</f>
        <v>703.79720714285713</v>
      </c>
      <c r="AS17" s="107">
        <f>AF17*(1+Assumptions!$E$73)</f>
        <v>879.74650892857153</v>
      </c>
      <c r="AT17" s="107">
        <f>AG17*(1+Assumptions!$E$73)</f>
        <v>851.36758928571419</v>
      </c>
      <c r="AU17" s="107">
        <f>AH17*(1+Assumptions!$E$73)</f>
        <v>844.55664857142858</v>
      </c>
      <c r="AV17" s="107">
        <f>AI17*(1+Assumptions!$E$73)</f>
        <v>612.98466428571442</v>
      </c>
      <c r="AW17" s="107">
        <f>AJ17*(1+Assumptions!$E$73)</f>
        <v>563.0377657142858</v>
      </c>
      <c r="AX17" s="288">
        <f t="shared" si="6"/>
        <v>8303.1043091071442</v>
      </c>
      <c r="AY17" s="300">
        <f>AL17*(1+Assumptions!$F$73)</f>
        <v>443.39224050000001</v>
      </c>
      <c r="AZ17" s="107">
        <f>AM17*(1+Assumptions!$F$73)</f>
        <v>471.40223418750003</v>
      </c>
      <c r="BA17" s="107">
        <f>AN17*(1+Assumptions!$F$73)</f>
        <v>665.08836075000011</v>
      </c>
      <c r="BB17" s="107">
        <f>AO17*(1+Assumptions!$F$73)</f>
        <v>786.66365250000024</v>
      </c>
      <c r="BC17" s="107">
        <f>AP17*(1+Assumptions!$F$73)</f>
        <v>886.78448100000003</v>
      </c>
      <c r="BD17" s="107">
        <f>AQ17*(1+Assumptions!$F$73)</f>
        <v>786.66365250000024</v>
      </c>
      <c r="BE17" s="107">
        <f>AR17*(1+Assumptions!$F$73)</f>
        <v>738.98706749999997</v>
      </c>
      <c r="BF17" s="107">
        <f>AS17*(1+Assumptions!$F$73)</f>
        <v>923.73383437500013</v>
      </c>
      <c r="BG17" s="107">
        <f>AT17*(1+Assumptions!$F$73)</f>
        <v>893.93596874999992</v>
      </c>
      <c r="BH17" s="107">
        <f>AU17*(1+Assumptions!$F$73)</f>
        <v>886.78448100000003</v>
      </c>
      <c r="BI17" s="107">
        <f>AV17*(1+Assumptions!$F$73)</f>
        <v>643.63389750000022</v>
      </c>
      <c r="BJ17" s="107">
        <f>AW17*(1+Assumptions!$F$73)</f>
        <v>591.18965400000013</v>
      </c>
      <c r="BK17" s="288">
        <f t="shared" si="7"/>
        <v>8718.2595245624998</v>
      </c>
      <c r="BL17" s="300">
        <f>AY17*(1+Assumptions!$G$73)</f>
        <v>465.56185252500001</v>
      </c>
      <c r="BM17" s="107">
        <f>AZ17*(1+Assumptions!$G$73)</f>
        <v>494.97234589687503</v>
      </c>
      <c r="BN17" s="107">
        <f>BA17*(1+Assumptions!$G$73)</f>
        <v>698.34277878750015</v>
      </c>
      <c r="BO17" s="107">
        <f>BB17*(1+Assumptions!$G$73)</f>
        <v>825.9968351250003</v>
      </c>
      <c r="BP17" s="107">
        <f>BC17*(1+Assumptions!$G$73)</f>
        <v>931.12370505000001</v>
      </c>
      <c r="BQ17" s="107">
        <f>BD17*(1+Assumptions!$G$73)</f>
        <v>825.9968351250003</v>
      </c>
      <c r="BR17" s="107">
        <f>BE17*(1+Assumptions!$G$73)</f>
        <v>775.93642087499995</v>
      </c>
      <c r="BS17" s="107">
        <f>BF17*(1+Assumptions!$G$73)</f>
        <v>969.92052609375014</v>
      </c>
      <c r="BT17" s="107">
        <f>BG17*(1+Assumptions!$G$73)</f>
        <v>938.63276718749989</v>
      </c>
      <c r="BU17" s="107">
        <f>BH17*(1+Assumptions!$G$73)</f>
        <v>931.12370505000001</v>
      </c>
      <c r="BV17" s="107">
        <f>BI17*(1+Assumptions!$G$73)</f>
        <v>675.81559237500028</v>
      </c>
      <c r="BW17" s="107">
        <f>BJ17*(1+Assumptions!$G$73)</f>
        <v>620.74913670000012</v>
      </c>
      <c r="BX17" s="288">
        <f t="shared" si="8"/>
        <v>9154.172500790628</v>
      </c>
      <c r="BY17" s="102">
        <f t="shared" si="10"/>
        <v>40287.531800531702</v>
      </c>
    </row>
    <row r="18" spans="1:77" ht="14.5">
      <c r="A18" s="92"/>
      <c r="B18" s="276">
        <v>6</v>
      </c>
      <c r="C18" s="272">
        <f>B18*(1+Assumptions!D$74)</f>
        <v>6</v>
      </c>
      <c r="D18" s="272">
        <f>C18*(1+Assumptions!E$74)</f>
        <v>6.24</v>
      </c>
      <c r="E18" s="272">
        <f>D18*(1+Assumptions!F$74)</f>
        <v>6.24</v>
      </c>
      <c r="F18" s="272">
        <f>E18*(1+Assumptions!G$74)</f>
        <v>6.4896000000000003</v>
      </c>
      <c r="G18" s="277">
        <v>11.5</v>
      </c>
      <c r="H18" s="280">
        <f t="shared" si="9"/>
        <v>2070.2608695652175</v>
      </c>
      <c r="I18" s="278">
        <v>0.05</v>
      </c>
      <c r="J18" s="277" t="s">
        <v>577</v>
      </c>
      <c r="K18" s="92"/>
      <c r="L18" s="107">
        <f>'Year 1 Traffic'!B$24*'Beer Revenue'!$I18</f>
        <v>166.90842857142857</v>
      </c>
      <c r="M18" s="107">
        <f>'Year 1 Traffic'!C$24*'Beer Revenue'!$I18</f>
        <v>177.45237499999999</v>
      </c>
      <c r="N18" s="107">
        <f>'Year 1 Traffic'!D$24*'Beer Revenue'!$I18</f>
        <v>250.36264285714287</v>
      </c>
      <c r="O18" s="107">
        <f>'Year 1 Traffic'!E$24*'Beer Revenue'!$I18</f>
        <v>296.12785714285718</v>
      </c>
      <c r="P18" s="107">
        <f>'Year 1 Traffic'!F$24*'Beer Revenue'!$I18</f>
        <v>333.81685714285715</v>
      </c>
      <c r="Q18" s="107">
        <f>'Year 1 Traffic'!G$24*'Beer Revenue'!$I18</f>
        <v>296.12785714285718</v>
      </c>
      <c r="R18" s="107">
        <f>'Year 1 Traffic'!H$24*'Beer Revenue'!$I18</f>
        <v>278.18071428571432</v>
      </c>
      <c r="S18" s="107">
        <f>'Year 1 Traffic'!I$24*'Beer Revenue'!$I18</f>
        <v>347.72589285714287</v>
      </c>
      <c r="T18" s="107">
        <f>'Year 1 Traffic'!J$24*'Beer Revenue'!$I18</f>
        <v>336.50892857142856</v>
      </c>
      <c r="U18" s="107">
        <f>'Year 1 Traffic'!K$24*'Beer Revenue'!$I18</f>
        <v>333.81685714285715</v>
      </c>
      <c r="V18" s="107">
        <f>'Year 1 Traffic'!L$24*'Beer Revenue'!$I18</f>
        <v>242.28642857142859</v>
      </c>
      <c r="W18" s="107">
        <f>'Year 1 Traffic'!M$24*'Beer Revenue'!$I18</f>
        <v>222.54457142857146</v>
      </c>
      <c r="X18" s="288">
        <f t="shared" si="4"/>
        <v>3281.8594107142858</v>
      </c>
      <c r="Y18" s="300">
        <f>L18*(1+Assumptions!$D$73)</f>
        <v>191.94469285714285</v>
      </c>
      <c r="Z18" s="107">
        <f>M18*(1+Assumptions!$D$73)</f>
        <v>204.07023124999998</v>
      </c>
      <c r="AA18" s="107">
        <f>N18*(1+Assumptions!$D$73)</f>
        <v>287.91703928571428</v>
      </c>
      <c r="AB18" s="107">
        <f>O18*(1+Assumptions!$D$73)</f>
        <v>340.54703571428576</v>
      </c>
      <c r="AC18" s="107">
        <f>P18*(1+Assumptions!$D$73)</f>
        <v>383.88938571428571</v>
      </c>
      <c r="AD18" s="107">
        <f>Q18*(1+Assumptions!$D$73)</f>
        <v>340.54703571428576</v>
      </c>
      <c r="AE18" s="107">
        <f>R18*(1+Assumptions!$D$73)</f>
        <v>319.90782142857142</v>
      </c>
      <c r="AF18" s="107">
        <f>S18*(1+Assumptions!$D$73)</f>
        <v>399.88477678571428</v>
      </c>
      <c r="AG18" s="107">
        <f>T18*(1+Assumptions!$D$73)</f>
        <v>386.98526785714279</v>
      </c>
      <c r="AH18" s="107">
        <f>U18*(1+Assumptions!$D$73)</f>
        <v>383.88938571428571</v>
      </c>
      <c r="AI18" s="107">
        <f>V18*(1+Assumptions!$D$73)</f>
        <v>278.62939285714288</v>
      </c>
      <c r="AJ18" s="107">
        <f>W18*(1+Assumptions!$D$73)</f>
        <v>255.92625714285717</v>
      </c>
      <c r="AK18" s="288">
        <f t="shared" si="5"/>
        <v>3774.1383223214289</v>
      </c>
      <c r="AL18" s="300">
        <f>Y18*(1+Assumptions!$E$73)</f>
        <v>211.13916214285715</v>
      </c>
      <c r="AM18" s="107">
        <f>Z18*(1+Assumptions!$E$73)</f>
        <v>224.477254375</v>
      </c>
      <c r="AN18" s="107">
        <f>AA18*(1+Assumptions!$E$73)</f>
        <v>316.70874321428573</v>
      </c>
      <c r="AO18" s="107">
        <f>AB18*(1+Assumptions!$E$73)</f>
        <v>374.60173928571436</v>
      </c>
      <c r="AP18" s="107">
        <f>AC18*(1+Assumptions!$E$73)</f>
        <v>422.27832428571429</v>
      </c>
      <c r="AQ18" s="107">
        <f>AD18*(1+Assumptions!$E$73)</f>
        <v>374.60173928571436</v>
      </c>
      <c r="AR18" s="107">
        <f>AE18*(1+Assumptions!$E$73)</f>
        <v>351.89860357142857</v>
      </c>
      <c r="AS18" s="107">
        <f>AF18*(1+Assumptions!$E$73)</f>
        <v>439.87325446428576</v>
      </c>
      <c r="AT18" s="107">
        <f>AG18*(1+Assumptions!$E$73)</f>
        <v>425.68379464285709</v>
      </c>
      <c r="AU18" s="107">
        <f>AH18*(1+Assumptions!$E$73)</f>
        <v>422.27832428571429</v>
      </c>
      <c r="AV18" s="107">
        <f>AI18*(1+Assumptions!$E$73)</f>
        <v>306.49233214285721</v>
      </c>
      <c r="AW18" s="107">
        <f>AJ18*(1+Assumptions!$E$73)</f>
        <v>281.5188828571429</v>
      </c>
      <c r="AX18" s="288">
        <f t="shared" si="6"/>
        <v>4151.5521545535721</v>
      </c>
      <c r="AY18" s="300">
        <f>AL18*(1+Assumptions!$F$73)</f>
        <v>221.69612025000001</v>
      </c>
      <c r="AZ18" s="107">
        <f>AM18*(1+Assumptions!$F$73)</f>
        <v>235.70111709375001</v>
      </c>
      <c r="BA18" s="107">
        <f>AN18*(1+Assumptions!$F$73)</f>
        <v>332.54418037500005</v>
      </c>
      <c r="BB18" s="107">
        <f>AO18*(1+Assumptions!$F$73)</f>
        <v>393.33182625000012</v>
      </c>
      <c r="BC18" s="107">
        <f>AP18*(1+Assumptions!$F$73)</f>
        <v>443.39224050000001</v>
      </c>
      <c r="BD18" s="107">
        <f>AQ18*(1+Assumptions!$F$73)</f>
        <v>393.33182625000012</v>
      </c>
      <c r="BE18" s="107">
        <f>AR18*(1+Assumptions!$F$73)</f>
        <v>369.49353374999998</v>
      </c>
      <c r="BF18" s="107">
        <f>AS18*(1+Assumptions!$F$73)</f>
        <v>461.86691718750006</v>
      </c>
      <c r="BG18" s="107">
        <f>AT18*(1+Assumptions!$F$73)</f>
        <v>446.96798437499996</v>
      </c>
      <c r="BH18" s="107">
        <f>AU18*(1+Assumptions!$F$73)</f>
        <v>443.39224050000001</v>
      </c>
      <c r="BI18" s="107">
        <f>AV18*(1+Assumptions!$F$73)</f>
        <v>321.81694875000011</v>
      </c>
      <c r="BJ18" s="107">
        <f>AW18*(1+Assumptions!$F$73)</f>
        <v>295.59482700000007</v>
      </c>
      <c r="BK18" s="288">
        <f t="shared" si="7"/>
        <v>4359.1297622812499</v>
      </c>
      <c r="BL18" s="300">
        <f>AY18*(1+Assumptions!$G$73)</f>
        <v>232.7809262625</v>
      </c>
      <c r="BM18" s="107">
        <f>AZ18*(1+Assumptions!$G$73)</f>
        <v>247.48617294843751</v>
      </c>
      <c r="BN18" s="107">
        <f>BA18*(1+Assumptions!$G$73)</f>
        <v>349.17138939375008</v>
      </c>
      <c r="BO18" s="107">
        <f>BB18*(1+Assumptions!$G$73)</f>
        <v>412.99841756250015</v>
      </c>
      <c r="BP18" s="107">
        <f>BC18*(1+Assumptions!$G$73)</f>
        <v>465.56185252500001</v>
      </c>
      <c r="BQ18" s="107">
        <f>BD18*(1+Assumptions!$G$73)</f>
        <v>412.99841756250015</v>
      </c>
      <c r="BR18" s="107">
        <f>BE18*(1+Assumptions!$G$73)</f>
        <v>387.96821043749998</v>
      </c>
      <c r="BS18" s="107">
        <f>BF18*(1+Assumptions!$G$73)</f>
        <v>484.96026304687507</v>
      </c>
      <c r="BT18" s="107">
        <f>BG18*(1+Assumptions!$G$73)</f>
        <v>469.31638359374995</v>
      </c>
      <c r="BU18" s="107">
        <f>BH18*(1+Assumptions!$G$73)</f>
        <v>465.56185252500001</v>
      </c>
      <c r="BV18" s="107">
        <f>BI18*(1+Assumptions!$G$73)</f>
        <v>337.90779618750014</v>
      </c>
      <c r="BW18" s="107">
        <f>BJ18*(1+Assumptions!$G$73)</f>
        <v>310.37456835000006</v>
      </c>
      <c r="BX18" s="288">
        <f t="shared" si="8"/>
        <v>4577.086250395314</v>
      </c>
      <c r="BY18" s="102">
        <f t="shared" si="10"/>
        <v>20143.765900265851</v>
      </c>
    </row>
    <row r="19" spans="1:77" ht="14.5">
      <c r="A19" s="92"/>
      <c r="B19" s="276">
        <v>6</v>
      </c>
      <c r="C19" s="272">
        <f>B19*(1+Assumptions!D$74)</f>
        <v>6</v>
      </c>
      <c r="D19" s="272">
        <f>C19*(1+Assumptions!E$74)</f>
        <v>6.24</v>
      </c>
      <c r="E19" s="272">
        <f>D19*(1+Assumptions!F$74)</f>
        <v>6.24</v>
      </c>
      <c r="F19" s="272">
        <f>E19*(1+Assumptions!G$74)</f>
        <v>6.4896000000000003</v>
      </c>
      <c r="G19" s="277">
        <v>11.5</v>
      </c>
      <c r="H19" s="280">
        <f t="shared" si="9"/>
        <v>2070.2608695652175</v>
      </c>
      <c r="I19" s="278">
        <v>0.05</v>
      </c>
      <c r="J19" s="277" t="s">
        <v>576</v>
      </c>
      <c r="K19" s="92"/>
      <c r="L19" s="107">
        <f>'Year 1 Traffic'!B$24*'Beer Revenue'!$I19</f>
        <v>166.90842857142857</v>
      </c>
      <c r="M19" s="107">
        <f>'Year 1 Traffic'!C$24*'Beer Revenue'!$I19</f>
        <v>177.45237499999999</v>
      </c>
      <c r="N19" s="107">
        <f>'Year 1 Traffic'!D$24*'Beer Revenue'!$I19</f>
        <v>250.36264285714287</v>
      </c>
      <c r="O19" s="107">
        <f>'Year 1 Traffic'!E$24*'Beer Revenue'!$I19</f>
        <v>296.12785714285718</v>
      </c>
      <c r="P19" s="107">
        <f>'Year 1 Traffic'!F$24*'Beer Revenue'!$I19</f>
        <v>333.81685714285715</v>
      </c>
      <c r="Q19" s="107">
        <f>'Year 1 Traffic'!G$24*'Beer Revenue'!$I19</f>
        <v>296.12785714285718</v>
      </c>
      <c r="R19" s="107">
        <f>'Year 1 Traffic'!H$24*'Beer Revenue'!$I19</f>
        <v>278.18071428571432</v>
      </c>
      <c r="S19" s="107">
        <f>'Year 1 Traffic'!I$24*'Beer Revenue'!$I19</f>
        <v>347.72589285714287</v>
      </c>
      <c r="T19" s="107">
        <f>'Year 1 Traffic'!J$24*'Beer Revenue'!$I19</f>
        <v>336.50892857142856</v>
      </c>
      <c r="U19" s="107">
        <f>'Year 1 Traffic'!K$24*'Beer Revenue'!$I19</f>
        <v>333.81685714285715</v>
      </c>
      <c r="V19" s="107">
        <f>'Year 1 Traffic'!L$24*'Beer Revenue'!$I19</f>
        <v>242.28642857142859</v>
      </c>
      <c r="W19" s="107">
        <f>'Year 1 Traffic'!M$24*'Beer Revenue'!$I19</f>
        <v>222.54457142857146</v>
      </c>
      <c r="X19" s="288">
        <f t="shared" si="4"/>
        <v>3281.8594107142858</v>
      </c>
      <c r="Y19" s="300">
        <f>L19*(1+Assumptions!$D$73)</f>
        <v>191.94469285714285</v>
      </c>
      <c r="Z19" s="107">
        <f>M19*(1+Assumptions!$D$73)</f>
        <v>204.07023124999998</v>
      </c>
      <c r="AA19" s="107">
        <f>N19*(1+Assumptions!$D$73)</f>
        <v>287.91703928571428</v>
      </c>
      <c r="AB19" s="107">
        <f>O19*(1+Assumptions!$D$73)</f>
        <v>340.54703571428576</v>
      </c>
      <c r="AC19" s="107">
        <f>P19*(1+Assumptions!$D$73)</f>
        <v>383.88938571428571</v>
      </c>
      <c r="AD19" s="107">
        <f>Q19*(1+Assumptions!$D$73)</f>
        <v>340.54703571428576</v>
      </c>
      <c r="AE19" s="107">
        <f>R19*(1+Assumptions!$D$73)</f>
        <v>319.90782142857142</v>
      </c>
      <c r="AF19" s="107">
        <f>S19*(1+Assumptions!$D$73)</f>
        <v>399.88477678571428</v>
      </c>
      <c r="AG19" s="107">
        <f>T19*(1+Assumptions!$D$73)</f>
        <v>386.98526785714279</v>
      </c>
      <c r="AH19" s="107">
        <f>U19*(1+Assumptions!$D$73)</f>
        <v>383.88938571428571</v>
      </c>
      <c r="AI19" s="107">
        <f>V19*(1+Assumptions!$D$73)</f>
        <v>278.62939285714288</v>
      </c>
      <c r="AJ19" s="107">
        <f>W19*(1+Assumptions!$D$73)</f>
        <v>255.92625714285717</v>
      </c>
      <c r="AK19" s="288">
        <f t="shared" si="5"/>
        <v>3774.1383223214289</v>
      </c>
      <c r="AL19" s="300">
        <f>Y19*(1+Assumptions!$E$73)</f>
        <v>211.13916214285715</v>
      </c>
      <c r="AM19" s="107">
        <f>Z19*(1+Assumptions!$E$73)</f>
        <v>224.477254375</v>
      </c>
      <c r="AN19" s="107">
        <f>AA19*(1+Assumptions!$E$73)</f>
        <v>316.70874321428573</v>
      </c>
      <c r="AO19" s="107">
        <f>AB19*(1+Assumptions!$E$73)</f>
        <v>374.60173928571436</v>
      </c>
      <c r="AP19" s="107">
        <f>AC19*(1+Assumptions!$E$73)</f>
        <v>422.27832428571429</v>
      </c>
      <c r="AQ19" s="107">
        <f>AD19*(1+Assumptions!$E$73)</f>
        <v>374.60173928571436</v>
      </c>
      <c r="AR19" s="107">
        <f>AE19*(1+Assumptions!$E$73)</f>
        <v>351.89860357142857</v>
      </c>
      <c r="AS19" s="107">
        <f>AF19*(1+Assumptions!$E$73)</f>
        <v>439.87325446428576</v>
      </c>
      <c r="AT19" s="107">
        <f>AG19*(1+Assumptions!$E$73)</f>
        <v>425.68379464285709</v>
      </c>
      <c r="AU19" s="107">
        <f>AH19*(1+Assumptions!$E$73)</f>
        <v>422.27832428571429</v>
      </c>
      <c r="AV19" s="107">
        <f>AI19*(1+Assumptions!$E$73)</f>
        <v>306.49233214285721</v>
      </c>
      <c r="AW19" s="107">
        <f>AJ19*(1+Assumptions!$E$73)</f>
        <v>281.5188828571429</v>
      </c>
      <c r="AX19" s="288">
        <f t="shared" si="6"/>
        <v>4151.5521545535721</v>
      </c>
      <c r="AY19" s="300">
        <f>AL19*(1+Assumptions!$F$73)</f>
        <v>221.69612025000001</v>
      </c>
      <c r="AZ19" s="107">
        <f>AM19*(1+Assumptions!$F$73)</f>
        <v>235.70111709375001</v>
      </c>
      <c r="BA19" s="107">
        <f>AN19*(1+Assumptions!$F$73)</f>
        <v>332.54418037500005</v>
      </c>
      <c r="BB19" s="107">
        <f>AO19*(1+Assumptions!$F$73)</f>
        <v>393.33182625000012</v>
      </c>
      <c r="BC19" s="107">
        <f>AP19*(1+Assumptions!$F$73)</f>
        <v>443.39224050000001</v>
      </c>
      <c r="BD19" s="107">
        <f>AQ19*(1+Assumptions!$F$73)</f>
        <v>393.33182625000012</v>
      </c>
      <c r="BE19" s="107">
        <f>AR19*(1+Assumptions!$F$73)</f>
        <v>369.49353374999998</v>
      </c>
      <c r="BF19" s="107">
        <f>AS19*(1+Assumptions!$F$73)</f>
        <v>461.86691718750006</v>
      </c>
      <c r="BG19" s="107">
        <f>AT19*(1+Assumptions!$F$73)</f>
        <v>446.96798437499996</v>
      </c>
      <c r="BH19" s="107">
        <f>AU19*(1+Assumptions!$F$73)</f>
        <v>443.39224050000001</v>
      </c>
      <c r="BI19" s="107">
        <f>AV19*(1+Assumptions!$F$73)</f>
        <v>321.81694875000011</v>
      </c>
      <c r="BJ19" s="107">
        <f>AW19*(1+Assumptions!$F$73)</f>
        <v>295.59482700000007</v>
      </c>
      <c r="BK19" s="288">
        <f t="shared" si="7"/>
        <v>4359.1297622812499</v>
      </c>
      <c r="BL19" s="300">
        <f>AY19*(1+Assumptions!$G$73)</f>
        <v>232.7809262625</v>
      </c>
      <c r="BM19" s="107">
        <f>AZ19*(1+Assumptions!$G$73)</f>
        <v>247.48617294843751</v>
      </c>
      <c r="BN19" s="107">
        <f>BA19*(1+Assumptions!$G$73)</f>
        <v>349.17138939375008</v>
      </c>
      <c r="BO19" s="107">
        <f>BB19*(1+Assumptions!$G$73)</f>
        <v>412.99841756250015</v>
      </c>
      <c r="BP19" s="107">
        <f>BC19*(1+Assumptions!$G$73)</f>
        <v>465.56185252500001</v>
      </c>
      <c r="BQ19" s="107">
        <f>BD19*(1+Assumptions!$G$73)</f>
        <v>412.99841756250015</v>
      </c>
      <c r="BR19" s="107">
        <f>BE19*(1+Assumptions!$G$73)</f>
        <v>387.96821043749998</v>
      </c>
      <c r="BS19" s="107">
        <f>BF19*(1+Assumptions!$G$73)</f>
        <v>484.96026304687507</v>
      </c>
      <c r="BT19" s="107">
        <f>BG19*(1+Assumptions!$G$73)</f>
        <v>469.31638359374995</v>
      </c>
      <c r="BU19" s="107">
        <f>BH19*(1+Assumptions!$G$73)</f>
        <v>465.56185252500001</v>
      </c>
      <c r="BV19" s="107">
        <f>BI19*(1+Assumptions!$G$73)</f>
        <v>337.90779618750014</v>
      </c>
      <c r="BW19" s="107">
        <f>BJ19*(1+Assumptions!$G$73)</f>
        <v>310.37456835000006</v>
      </c>
      <c r="BX19" s="288">
        <f t="shared" si="8"/>
        <v>4577.086250395314</v>
      </c>
      <c r="BY19" s="102">
        <f t="shared" si="10"/>
        <v>20143.765900265851</v>
      </c>
    </row>
    <row r="20" spans="1:77" ht="14.5">
      <c r="A20" s="92"/>
      <c r="B20" s="276">
        <v>7</v>
      </c>
      <c r="C20" s="272">
        <f>B20*(1+Assumptions!D$74)</f>
        <v>7</v>
      </c>
      <c r="D20" s="272">
        <f>C20*(1+Assumptions!E$74)</f>
        <v>7.28</v>
      </c>
      <c r="E20" s="272">
        <f>D20*(1+Assumptions!F$74)</f>
        <v>7.28</v>
      </c>
      <c r="F20" s="272">
        <f>E20*(1+Assumptions!G$74)</f>
        <v>7.5712000000000002</v>
      </c>
      <c r="G20" s="277">
        <v>14</v>
      </c>
      <c r="H20" s="280">
        <f t="shared" si="9"/>
        <v>1984</v>
      </c>
      <c r="I20" s="278">
        <v>0.1</v>
      </c>
      <c r="J20" s="277" t="s">
        <v>507</v>
      </c>
      <c r="K20" s="92"/>
      <c r="L20" s="107">
        <f>'Year 1 Traffic'!B$24*'Beer Revenue'!$I20</f>
        <v>333.81685714285715</v>
      </c>
      <c r="M20" s="107">
        <f>'Year 1 Traffic'!C$24*'Beer Revenue'!$I20</f>
        <v>354.90474999999998</v>
      </c>
      <c r="N20" s="107">
        <f>'Year 1 Traffic'!D$24*'Beer Revenue'!$I20</f>
        <v>500.72528571428575</v>
      </c>
      <c r="O20" s="107">
        <f>'Year 1 Traffic'!E$24*'Beer Revenue'!$I20</f>
        <v>592.25571428571436</v>
      </c>
      <c r="P20" s="107">
        <f>'Year 1 Traffic'!F$24*'Beer Revenue'!$I20</f>
        <v>667.63371428571429</v>
      </c>
      <c r="Q20" s="107">
        <f>'Year 1 Traffic'!G$24*'Beer Revenue'!$I20</f>
        <v>592.25571428571436</v>
      </c>
      <c r="R20" s="107">
        <f>'Year 1 Traffic'!H$24*'Beer Revenue'!$I20</f>
        <v>556.36142857142863</v>
      </c>
      <c r="S20" s="107">
        <f>'Year 1 Traffic'!I$24*'Beer Revenue'!$I20</f>
        <v>695.45178571428573</v>
      </c>
      <c r="T20" s="107">
        <f>'Year 1 Traffic'!J$24*'Beer Revenue'!$I20</f>
        <v>673.01785714285711</v>
      </c>
      <c r="U20" s="107">
        <f>'Year 1 Traffic'!K$24*'Beer Revenue'!$I20</f>
        <v>667.63371428571429</v>
      </c>
      <c r="V20" s="107">
        <f>'Year 1 Traffic'!L$24*'Beer Revenue'!$I20</f>
        <v>484.57285714285717</v>
      </c>
      <c r="W20" s="107">
        <f>'Year 1 Traffic'!M$24*'Beer Revenue'!$I20</f>
        <v>445.08914285714292</v>
      </c>
      <c r="X20" s="288">
        <f t="shared" si="4"/>
        <v>6563.7188214285716</v>
      </c>
      <c r="Y20" s="300">
        <f>L20*(1+Assumptions!$D$73)</f>
        <v>383.88938571428571</v>
      </c>
      <c r="Z20" s="107">
        <f>M20*(1+Assumptions!$D$73)</f>
        <v>408.14046249999996</v>
      </c>
      <c r="AA20" s="107">
        <f>N20*(1+Assumptions!$D$73)</f>
        <v>575.83407857142856</v>
      </c>
      <c r="AB20" s="107">
        <f>O20*(1+Assumptions!$D$73)</f>
        <v>681.09407142857151</v>
      </c>
      <c r="AC20" s="107">
        <f>P20*(1+Assumptions!$D$73)</f>
        <v>767.77877142857142</v>
      </c>
      <c r="AD20" s="107">
        <f>Q20*(1+Assumptions!$D$73)</f>
        <v>681.09407142857151</v>
      </c>
      <c r="AE20" s="107">
        <f>R20*(1+Assumptions!$D$73)</f>
        <v>639.81564285714285</v>
      </c>
      <c r="AF20" s="107">
        <f>S20*(1+Assumptions!$D$73)</f>
        <v>799.76955357142856</v>
      </c>
      <c r="AG20" s="107">
        <f>T20*(1+Assumptions!$D$73)</f>
        <v>773.97053571428557</v>
      </c>
      <c r="AH20" s="107">
        <f>U20*(1+Assumptions!$D$73)</f>
        <v>767.77877142857142</v>
      </c>
      <c r="AI20" s="107">
        <f>V20*(1+Assumptions!$D$73)</f>
        <v>557.25878571428575</v>
      </c>
      <c r="AJ20" s="107">
        <f>W20*(1+Assumptions!$D$73)</f>
        <v>511.85251428571434</v>
      </c>
      <c r="AK20" s="288">
        <f t="shared" si="5"/>
        <v>7548.2766446428577</v>
      </c>
      <c r="AL20" s="300">
        <f>Y20*(1+Assumptions!$E$73)</f>
        <v>422.27832428571429</v>
      </c>
      <c r="AM20" s="107">
        <f>Z20*(1+Assumptions!$E$73)</f>
        <v>448.95450875</v>
      </c>
      <c r="AN20" s="107">
        <f>AA20*(1+Assumptions!$E$73)</f>
        <v>633.41748642857146</v>
      </c>
      <c r="AO20" s="107">
        <f>AB20*(1+Assumptions!$E$73)</f>
        <v>749.20347857142872</v>
      </c>
      <c r="AP20" s="107">
        <f>AC20*(1+Assumptions!$E$73)</f>
        <v>844.55664857142858</v>
      </c>
      <c r="AQ20" s="107">
        <f>AD20*(1+Assumptions!$E$73)</f>
        <v>749.20347857142872</v>
      </c>
      <c r="AR20" s="107">
        <f>AE20*(1+Assumptions!$E$73)</f>
        <v>703.79720714285713</v>
      </c>
      <c r="AS20" s="107">
        <f>AF20*(1+Assumptions!$E$73)</f>
        <v>879.74650892857153</v>
      </c>
      <c r="AT20" s="107">
        <f>AG20*(1+Assumptions!$E$73)</f>
        <v>851.36758928571419</v>
      </c>
      <c r="AU20" s="107">
        <f>AH20*(1+Assumptions!$E$73)</f>
        <v>844.55664857142858</v>
      </c>
      <c r="AV20" s="107">
        <f>AI20*(1+Assumptions!$E$73)</f>
        <v>612.98466428571442</v>
      </c>
      <c r="AW20" s="107">
        <f>AJ20*(1+Assumptions!$E$73)</f>
        <v>563.0377657142858</v>
      </c>
      <c r="AX20" s="288">
        <f t="shared" si="6"/>
        <v>8303.1043091071442</v>
      </c>
      <c r="AY20" s="300">
        <f>AL20*(1+Assumptions!$F$73)</f>
        <v>443.39224050000001</v>
      </c>
      <c r="AZ20" s="107">
        <f>AM20*(1+Assumptions!$F$73)</f>
        <v>471.40223418750003</v>
      </c>
      <c r="BA20" s="107">
        <f>AN20*(1+Assumptions!$F$73)</f>
        <v>665.08836075000011</v>
      </c>
      <c r="BB20" s="107">
        <f>AO20*(1+Assumptions!$F$73)</f>
        <v>786.66365250000024</v>
      </c>
      <c r="BC20" s="107">
        <f>AP20*(1+Assumptions!$F$73)</f>
        <v>886.78448100000003</v>
      </c>
      <c r="BD20" s="107">
        <f>AQ20*(1+Assumptions!$F$73)</f>
        <v>786.66365250000024</v>
      </c>
      <c r="BE20" s="107">
        <f>AR20*(1+Assumptions!$F$73)</f>
        <v>738.98706749999997</v>
      </c>
      <c r="BF20" s="107">
        <f>AS20*(1+Assumptions!$F$73)</f>
        <v>923.73383437500013</v>
      </c>
      <c r="BG20" s="107">
        <f>AT20*(1+Assumptions!$F$73)</f>
        <v>893.93596874999992</v>
      </c>
      <c r="BH20" s="107">
        <f>AU20*(1+Assumptions!$F$73)</f>
        <v>886.78448100000003</v>
      </c>
      <c r="BI20" s="107">
        <f>AV20*(1+Assumptions!$F$73)</f>
        <v>643.63389750000022</v>
      </c>
      <c r="BJ20" s="107">
        <f>AW20*(1+Assumptions!$F$73)</f>
        <v>591.18965400000013</v>
      </c>
      <c r="BK20" s="288">
        <f t="shared" si="7"/>
        <v>8718.2595245624998</v>
      </c>
      <c r="BL20" s="300">
        <f>AY20*(1+Assumptions!$G$73)</f>
        <v>465.56185252500001</v>
      </c>
      <c r="BM20" s="107">
        <f>AZ20*(1+Assumptions!$G$73)</f>
        <v>494.97234589687503</v>
      </c>
      <c r="BN20" s="107">
        <f>BA20*(1+Assumptions!$G$73)</f>
        <v>698.34277878750015</v>
      </c>
      <c r="BO20" s="107">
        <f>BB20*(1+Assumptions!$G$73)</f>
        <v>825.9968351250003</v>
      </c>
      <c r="BP20" s="107">
        <f>BC20*(1+Assumptions!$G$73)</f>
        <v>931.12370505000001</v>
      </c>
      <c r="BQ20" s="107">
        <f>BD20*(1+Assumptions!$G$73)</f>
        <v>825.9968351250003</v>
      </c>
      <c r="BR20" s="107">
        <f>BE20*(1+Assumptions!$G$73)</f>
        <v>775.93642087499995</v>
      </c>
      <c r="BS20" s="107">
        <f>BF20*(1+Assumptions!$G$73)</f>
        <v>969.92052609375014</v>
      </c>
      <c r="BT20" s="107">
        <f>BG20*(1+Assumptions!$G$73)</f>
        <v>938.63276718749989</v>
      </c>
      <c r="BU20" s="107">
        <f>BH20*(1+Assumptions!$G$73)</f>
        <v>931.12370505000001</v>
      </c>
      <c r="BV20" s="107">
        <f>BI20*(1+Assumptions!$G$73)</f>
        <v>675.81559237500028</v>
      </c>
      <c r="BW20" s="107">
        <f>BJ20*(1+Assumptions!$G$73)</f>
        <v>620.74913670000012</v>
      </c>
      <c r="BX20" s="288">
        <f t="shared" si="8"/>
        <v>9154.172500790628</v>
      </c>
      <c r="BY20" s="102">
        <f t="shared" si="10"/>
        <v>40287.531800531702</v>
      </c>
    </row>
    <row r="21" spans="1:77" ht="14.5">
      <c r="A21" s="92"/>
      <c r="B21" s="276">
        <v>7</v>
      </c>
      <c r="C21" s="272">
        <f>B21*(1+Assumptions!D$74)</f>
        <v>7</v>
      </c>
      <c r="D21" s="272">
        <f>C21*(1+Assumptions!E$74)</f>
        <v>7.28</v>
      </c>
      <c r="E21" s="272">
        <f>D21*(1+Assumptions!F$74)</f>
        <v>7.28</v>
      </c>
      <c r="F21" s="272">
        <f>E21*(1+Assumptions!G$74)</f>
        <v>7.5712000000000002</v>
      </c>
      <c r="G21" s="277">
        <v>11.5</v>
      </c>
      <c r="H21" s="280">
        <f t="shared" si="9"/>
        <v>2415.304347826087</v>
      </c>
      <c r="I21" s="278">
        <v>0.05</v>
      </c>
      <c r="J21" s="277" t="s">
        <v>508</v>
      </c>
      <c r="K21" s="92"/>
      <c r="L21" s="107">
        <f>'Year 1 Traffic'!B$24*'Beer Revenue'!$I21</f>
        <v>166.90842857142857</v>
      </c>
      <c r="M21" s="107">
        <f>'Year 1 Traffic'!C$24*'Beer Revenue'!$I21</f>
        <v>177.45237499999999</v>
      </c>
      <c r="N21" s="107">
        <f>'Year 1 Traffic'!D$24*'Beer Revenue'!$I21</f>
        <v>250.36264285714287</v>
      </c>
      <c r="O21" s="107">
        <f>'Year 1 Traffic'!E$24*'Beer Revenue'!$I21</f>
        <v>296.12785714285718</v>
      </c>
      <c r="P21" s="107">
        <f>'Year 1 Traffic'!F$24*'Beer Revenue'!$I21</f>
        <v>333.81685714285715</v>
      </c>
      <c r="Q21" s="107">
        <f>'Year 1 Traffic'!G$24*'Beer Revenue'!$I21</f>
        <v>296.12785714285718</v>
      </c>
      <c r="R21" s="107">
        <f>'Year 1 Traffic'!H$24*'Beer Revenue'!$I21</f>
        <v>278.18071428571432</v>
      </c>
      <c r="S21" s="107">
        <f>'Year 1 Traffic'!I$24*'Beer Revenue'!$I21</f>
        <v>347.72589285714287</v>
      </c>
      <c r="T21" s="107">
        <f>'Year 1 Traffic'!J$24*'Beer Revenue'!$I21</f>
        <v>336.50892857142856</v>
      </c>
      <c r="U21" s="107">
        <f>'Year 1 Traffic'!K$24*'Beer Revenue'!$I21</f>
        <v>333.81685714285715</v>
      </c>
      <c r="V21" s="107">
        <f>'Year 1 Traffic'!L$24*'Beer Revenue'!$I21</f>
        <v>242.28642857142859</v>
      </c>
      <c r="W21" s="107">
        <f>'Year 1 Traffic'!M$24*'Beer Revenue'!$I21</f>
        <v>222.54457142857146</v>
      </c>
      <c r="X21" s="288">
        <f t="shared" si="4"/>
        <v>3281.8594107142858</v>
      </c>
      <c r="Y21" s="300">
        <f>L21*(1+Assumptions!$D$73)</f>
        <v>191.94469285714285</v>
      </c>
      <c r="Z21" s="107">
        <f>M21*(1+Assumptions!$D$73)</f>
        <v>204.07023124999998</v>
      </c>
      <c r="AA21" s="107">
        <f>N21*(1+Assumptions!$D$73)</f>
        <v>287.91703928571428</v>
      </c>
      <c r="AB21" s="107">
        <f>O21*(1+Assumptions!$D$73)</f>
        <v>340.54703571428576</v>
      </c>
      <c r="AC21" s="107">
        <f>P21*(1+Assumptions!$D$73)</f>
        <v>383.88938571428571</v>
      </c>
      <c r="AD21" s="107">
        <f>Q21*(1+Assumptions!$D$73)</f>
        <v>340.54703571428576</v>
      </c>
      <c r="AE21" s="107">
        <f>R21*(1+Assumptions!$D$73)</f>
        <v>319.90782142857142</v>
      </c>
      <c r="AF21" s="107">
        <f>S21*(1+Assumptions!$D$73)</f>
        <v>399.88477678571428</v>
      </c>
      <c r="AG21" s="107">
        <f>T21*(1+Assumptions!$D$73)</f>
        <v>386.98526785714279</v>
      </c>
      <c r="AH21" s="107">
        <f>U21*(1+Assumptions!$D$73)</f>
        <v>383.88938571428571</v>
      </c>
      <c r="AI21" s="107">
        <f>V21*(1+Assumptions!$D$73)</f>
        <v>278.62939285714288</v>
      </c>
      <c r="AJ21" s="107">
        <f>W21*(1+Assumptions!$D$73)</f>
        <v>255.92625714285717</v>
      </c>
      <c r="AK21" s="288">
        <f t="shared" si="5"/>
        <v>3774.1383223214289</v>
      </c>
      <c r="AL21" s="300">
        <f>Y21*(1+Assumptions!$E$73)</f>
        <v>211.13916214285715</v>
      </c>
      <c r="AM21" s="107">
        <f>Z21*(1+Assumptions!$E$73)</f>
        <v>224.477254375</v>
      </c>
      <c r="AN21" s="107">
        <f>AA21*(1+Assumptions!$E$73)</f>
        <v>316.70874321428573</v>
      </c>
      <c r="AO21" s="107">
        <f>AB21*(1+Assumptions!$E$73)</f>
        <v>374.60173928571436</v>
      </c>
      <c r="AP21" s="107">
        <f>AC21*(1+Assumptions!$E$73)</f>
        <v>422.27832428571429</v>
      </c>
      <c r="AQ21" s="107">
        <f>AD21*(1+Assumptions!$E$73)</f>
        <v>374.60173928571436</v>
      </c>
      <c r="AR21" s="107">
        <f>AE21*(1+Assumptions!$E$73)</f>
        <v>351.89860357142857</v>
      </c>
      <c r="AS21" s="107">
        <f>AF21*(1+Assumptions!$E$73)</f>
        <v>439.87325446428576</v>
      </c>
      <c r="AT21" s="107">
        <f>AG21*(1+Assumptions!$E$73)</f>
        <v>425.68379464285709</v>
      </c>
      <c r="AU21" s="107">
        <f>AH21*(1+Assumptions!$E$73)</f>
        <v>422.27832428571429</v>
      </c>
      <c r="AV21" s="107">
        <f>AI21*(1+Assumptions!$E$73)</f>
        <v>306.49233214285721</v>
      </c>
      <c r="AW21" s="107">
        <f>AJ21*(1+Assumptions!$E$73)</f>
        <v>281.5188828571429</v>
      </c>
      <c r="AX21" s="288">
        <f t="shared" si="6"/>
        <v>4151.5521545535721</v>
      </c>
      <c r="AY21" s="300">
        <f>AL21*(1+Assumptions!$F$73)</f>
        <v>221.69612025000001</v>
      </c>
      <c r="AZ21" s="107">
        <f>AM21*(1+Assumptions!$F$73)</f>
        <v>235.70111709375001</v>
      </c>
      <c r="BA21" s="107">
        <f>AN21*(1+Assumptions!$F$73)</f>
        <v>332.54418037500005</v>
      </c>
      <c r="BB21" s="107">
        <f>AO21*(1+Assumptions!$F$73)</f>
        <v>393.33182625000012</v>
      </c>
      <c r="BC21" s="107">
        <f>AP21*(1+Assumptions!$F$73)</f>
        <v>443.39224050000001</v>
      </c>
      <c r="BD21" s="107">
        <f>AQ21*(1+Assumptions!$F$73)</f>
        <v>393.33182625000012</v>
      </c>
      <c r="BE21" s="107">
        <f>AR21*(1+Assumptions!$F$73)</f>
        <v>369.49353374999998</v>
      </c>
      <c r="BF21" s="107">
        <f>AS21*(1+Assumptions!$F$73)</f>
        <v>461.86691718750006</v>
      </c>
      <c r="BG21" s="107">
        <f>AT21*(1+Assumptions!$F$73)</f>
        <v>446.96798437499996</v>
      </c>
      <c r="BH21" s="107">
        <f>AU21*(1+Assumptions!$F$73)</f>
        <v>443.39224050000001</v>
      </c>
      <c r="BI21" s="107">
        <f>AV21*(1+Assumptions!$F$73)</f>
        <v>321.81694875000011</v>
      </c>
      <c r="BJ21" s="107">
        <f>AW21*(1+Assumptions!$F$73)</f>
        <v>295.59482700000007</v>
      </c>
      <c r="BK21" s="288">
        <f t="shared" si="7"/>
        <v>4359.1297622812499</v>
      </c>
      <c r="BL21" s="300">
        <f>AY21*(1+Assumptions!$G$73)</f>
        <v>232.7809262625</v>
      </c>
      <c r="BM21" s="107">
        <f>AZ21*(1+Assumptions!$G$73)</f>
        <v>247.48617294843751</v>
      </c>
      <c r="BN21" s="107">
        <f>BA21*(1+Assumptions!$G$73)</f>
        <v>349.17138939375008</v>
      </c>
      <c r="BO21" s="107">
        <f>BB21*(1+Assumptions!$G$73)</f>
        <v>412.99841756250015</v>
      </c>
      <c r="BP21" s="107">
        <f>BC21*(1+Assumptions!$G$73)</f>
        <v>465.56185252500001</v>
      </c>
      <c r="BQ21" s="107">
        <f>BD21*(1+Assumptions!$G$73)</f>
        <v>412.99841756250015</v>
      </c>
      <c r="BR21" s="107">
        <f>BE21*(1+Assumptions!$G$73)</f>
        <v>387.96821043749998</v>
      </c>
      <c r="BS21" s="107">
        <f>BF21*(1+Assumptions!$G$73)</f>
        <v>484.96026304687507</v>
      </c>
      <c r="BT21" s="107">
        <f>BG21*(1+Assumptions!$G$73)</f>
        <v>469.31638359374995</v>
      </c>
      <c r="BU21" s="107">
        <f>BH21*(1+Assumptions!$G$73)</f>
        <v>465.56185252500001</v>
      </c>
      <c r="BV21" s="107">
        <f>BI21*(1+Assumptions!$G$73)</f>
        <v>337.90779618750014</v>
      </c>
      <c r="BW21" s="107">
        <f>BJ21*(1+Assumptions!$G$73)</f>
        <v>310.37456835000006</v>
      </c>
      <c r="BX21" s="288">
        <f t="shared" si="8"/>
        <v>4577.086250395314</v>
      </c>
      <c r="BY21" s="102">
        <f t="shared" si="10"/>
        <v>20143.765900265851</v>
      </c>
    </row>
    <row r="22" spans="1:77" ht="14.5">
      <c r="A22" s="92"/>
      <c r="B22" s="276">
        <v>7</v>
      </c>
      <c r="C22" s="272">
        <f>B22*(1+Assumptions!D$74)</f>
        <v>7</v>
      </c>
      <c r="D22" s="272">
        <f>C22*(1+Assumptions!E$74)</f>
        <v>7.28</v>
      </c>
      <c r="E22" s="272">
        <f>D22*(1+Assumptions!F$74)</f>
        <v>7.28</v>
      </c>
      <c r="F22" s="272">
        <f>E22*(1+Assumptions!G$74)</f>
        <v>7.5712000000000002</v>
      </c>
      <c r="G22" s="277">
        <v>11.5</v>
      </c>
      <c r="H22" s="280">
        <f t="shared" si="9"/>
        <v>2415.304347826087</v>
      </c>
      <c r="I22" s="278">
        <v>0.05</v>
      </c>
      <c r="J22" s="277" t="s">
        <v>578</v>
      </c>
      <c r="K22" s="92"/>
      <c r="L22" s="107">
        <f>'Year 1 Traffic'!B$24*'Beer Revenue'!$I22</f>
        <v>166.90842857142857</v>
      </c>
      <c r="M22" s="107">
        <f>'Year 1 Traffic'!C$24*'Beer Revenue'!$I22</f>
        <v>177.45237499999999</v>
      </c>
      <c r="N22" s="107">
        <f>'Year 1 Traffic'!D$24*'Beer Revenue'!$I22</f>
        <v>250.36264285714287</v>
      </c>
      <c r="O22" s="107">
        <f>'Year 1 Traffic'!E$24*'Beer Revenue'!$I22</f>
        <v>296.12785714285718</v>
      </c>
      <c r="P22" s="107">
        <f>'Year 1 Traffic'!F$24*'Beer Revenue'!$I22</f>
        <v>333.81685714285715</v>
      </c>
      <c r="Q22" s="107">
        <f>'Year 1 Traffic'!G$24*'Beer Revenue'!$I22</f>
        <v>296.12785714285718</v>
      </c>
      <c r="R22" s="107">
        <f>'Year 1 Traffic'!H$24*'Beer Revenue'!$I22</f>
        <v>278.18071428571432</v>
      </c>
      <c r="S22" s="107">
        <f>'Year 1 Traffic'!I$24*'Beer Revenue'!$I22</f>
        <v>347.72589285714287</v>
      </c>
      <c r="T22" s="107">
        <f>'Year 1 Traffic'!J$24*'Beer Revenue'!$I22</f>
        <v>336.50892857142856</v>
      </c>
      <c r="U22" s="107">
        <f>'Year 1 Traffic'!K$24*'Beer Revenue'!$I22</f>
        <v>333.81685714285715</v>
      </c>
      <c r="V22" s="107">
        <f>'Year 1 Traffic'!L$24*'Beer Revenue'!$I22</f>
        <v>242.28642857142859</v>
      </c>
      <c r="W22" s="107">
        <f>'Year 1 Traffic'!M$24*'Beer Revenue'!$I22</f>
        <v>222.54457142857146</v>
      </c>
      <c r="X22" s="288">
        <f t="shared" si="4"/>
        <v>3281.8594107142858</v>
      </c>
      <c r="Y22" s="300">
        <f>L22*(1+Assumptions!$D$73)</f>
        <v>191.94469285714285</v>
      </c>
      <c r="Z22" s="107">
        <f>M22*(1+Assumptions!$D$73)</f>
        <v>204.07023124999998</v>
      </c>
      <c r="AA22" s="107">
        <f>N22*(1+Assumptions!$D$73)</f>
        <v>287.91703928571428</v>
      </c>
      <c r="AB22" s="107">
        <f>O22*(1+Assumptions!$D$73)</f>
        <v>340.54703571428576</v>
      </c>
      <c r="AC22" s="107">
        <f>P22*(1+Assumptions!$D$73)</f>
        <v>383.88938571428571</v>
      </c>
      <c r="AD22" s="107">
        <f>Q22*(1+Assumptions!$D$73)</f>
        <v>340.54703571428576</v>
      </c>
      <c r="AE22" s="107">
        <f>R22*(1+Assumptions!$D$73)</f>
        <v>319.90782142857142</v>
      </c>
      <c r="AF22" s="107">
        <f>S22*(1+Assumptions!$D$73)</f>
        <v>399.88477678571428</v>
      </c>
      <c r="AG22" s="107">
        <f>T22*(1+Assumptions!$D$73)</f>
        <v>386.98526785714279</v>
      </c>
      <c r="AH22" s="107">
        <f>U22*(1+Assumptions!$D$73)</f>
        <v>383.88938571428571</v>
      </c>
      <c r="AI22" s="107">
        <f>V22*(1+Assumptions!$D$73)</f>
        <v>278.62939285714288</v>
      </c>
      <c r="AJ22" s="107">
        <f>W22*(1+Assumptions!$D$73)</f>
        <v>255.92625714285717</v>
      </c>
      <c r="AK22" s="288">
        <f t="shared" si="5"/>
        <v>3774.1383223214289</v>
      </c>
      <c r="AL22" s="300">
        <f>Y22*(1+Assumptions!$E$73)</f>
        <v>211.13916214285715</v>
      </c>
      <c r="AM22" s="107">
        <f>Z22*(1+Assumptions!$E$73)</f>
        <v>224.477254375</v>
      </c>
      <c r="AN22" s="107">
        <f>AA22*(1+Assumptions!$E$73)</f>
        <v>316.70874321428573</v>
      </c>
      <c r="AO22" s="107">
        <f>AB22*(1+Assumptions!$E$73)</f>
        <v>374.60173928571436</v>
      </c>
      <c r="AP22" s="107">
        <f>AC22*(1+Assumptions!$E$73)</f>
        <v>422.27832428571429</v>
      </c>
      <c r="AQ22" s="107">
        <f>AD22*(1+Assumptions!$E$73)</f>
        <v>374.60173928571436</v>
      </c>
      <c r="AR22" s="107">
        <f>AE22*(1+Assumptions!$E$73)</f>
        <v>351.89860357142857</v>
      </c>
      <c r="AS22" s="107">
        <f>AF22*(1+Assumptions!$E$73)</f>
        <v>439.87325446428576</v>
      </c>
      <c r="AT22" s="107">
        <f>AG22*(1+Assumptions!$E$73)</f>
        <v>425.68379464285709</v>
      </c>
      <c r="AU22" s="107">
        <f>AH22*(1+Assumptions!$E$73)</f>
        <v>422.27832428571429</v>
      </c>
      <c r="AV22" s="107">
        <f>AI22*(1+Assumptions!$E$73)</f>
        <v>306.49233214285721</v>
      </c>
      <c r="AW22" s="107">
        <f>AJ22*(1+Assumptions!$E$73)</f>
        <v>281.5188828571429</v>
      </c>
      <c r="AX22" s="288">
        <f t="shared" si="6"/>
        <v>4151.5521545535721</v>
      </c>
      <c r="AY22" s="300">
        <f>AL22*(1+Assumptions!$F$73)</f>
        <v>221.69612025000001</v>
      </c>
      <c r="AZ22" s="107">
        <f>AM22*(1+Assumptions!$F$73)</f>
        <v>235.70111709375001</v>
      </c>
      <c r="BA22" s="107">
        <f>AN22*(1+Assumptions!$F$73)</f>
        <v>332.54418037500005</v>
      </c>
      <c r="BB22" s="107">
        <f>AO22*(1+Assumptions!$F$73)</f>
        <v>393.33182625000012</v>
      </c>
      <c r="BC22" s="107">
        <f>AP22*(1+Assumptions!$F$73)</f>
        <v>443.39224050000001</v>
      </c>
      <c r="BD22" s="107">
        <f>AQ22*(1+Assumptions!$F$73)</f>
        <v>393.33182625000012</v>
      </c>
      <c r="BE22" s="107">
        <f>AR22*(1+Assumptions!$F$73)</f>
        <v>369.49353374999998</v>
      </c>
      <c r="BF22" s="107">
        <f>AS22*(1+Assumptions!$F$73)</f>
        <v>461.86691718750006</v>
      </c>
      <c r="BG22" s="107">
        <f>AT22*(1+Assumptions!$F$73)</f>
        <v>446.96798437499996</v>
      </c>
      <c r="BH22" s="107">
        <f>AU22*(1+Assumptions!$F$73)</f>
        <v>443.39224050000001</v>
      </c>
      <c r="BI22" s="107">
        <f>AV22*(1+Assumptions!$F$73)</f>
        <v>321.81694875000011</v>
      </c>
      <c r="BJ22" s="107">
        <f>AW22*(1+Assumptions!$F$73)</f>
        <v>295.59482700000007</v>
      </c>
      <c r="BK22" s="288">
        <f t="shared" si="7"/>
        <v>4359.1297622812499</v>
      </c>
      <c r="BL22" s="300">
        <f>AY22*(1+Assumptions!$G$73)</f>
        <v>232.7809262625</v>
      </c>
      <c r="BM22" s="107">
        <f>AZ22*(1+Assumptions!$G$73)</f>
        <v>247.48617294843751</v>
      </c>
      <c r="BN22" s="107">
        <f>BA22*(1+Assumptions!$G$73)</f>
        <v>349.17138939375008</v>
      </c>
      <c r="BO22" s="107">
        <f>BB22*(1+Assumptions!$G$73)</f>
        <v>412.99841756250015</v>
      </c>
      <c r="BP22" s="107">
        <f>BC22*(1+Assumptions!$G$73)</f>
        <v>465.56185252500001</v>
      </c>
      <c r="BQ22" s="107">
        <f>BD22*(1+Assumptions!$G$73)</f>
        <v>412.99841756250015</v>
      </c>
      <c r="BR22" s="107">
        <f>BE22*(1+Assumptions!$G$73)</f>
        <v>387.96821043749998</v>
      </c>
      <c r="BS22" s="107">
        <f>BF22*(1+Assumptions!$G$73)</f>
        <v>484.96026304687507</v>
      </c>
      <c r="BT22" s="107">
        <f>BG22*(1+Assumptions!$G$73)</f>
        <v>469.31638359374995</v>
      </c>
      <c r="BU22" s="107">
        <f>BH22*(1+Assumptions!$G$73)</f>
        <v>465.56185252500001</v>
      </c>
      <c r="BV22" s="107">
        <f>BI22*(1+Assumptions!$G$73)</f>
        <v>337.90779618750014</v>
      </c>
      <c r="BW22" s="107">
        <f>BJ22*(1+Assumptions!$G$73)</f>
        <v>310.37456835000006</v>
      </c>
      <c r="BX22" s="288">
        <f t="shared" si="8"/>
        <v>4577.086250395314</v>
      </c>
      <c r="BY22" s="102">
        <f t="shared" si="10"/>
        <v>20143.765900265851</v>
      </c>
    </row>
    <row r="23" spans="1:77" ht="14.5">
      <c r="A23" s="92"/>
      <c r="B23" s="276">
        <v>7</v>
      </c>
      <c r="C23" s="272">
        <f>B23*(1+Assumptions!D$74)</f>
        <v>7</v>
      </c>
      <c r="D23" s="272">
        <f>C23*(1+Assumptions!E$74)</f>
        <v>7.28</v>
      </c>
      <c r="E23" s="272">
        <f>D23*(1+Assumptions!F$74)</f>
        <v>7.28</v>
      </c>
      <c r="F23" s="272">
        <f>E23*(1+Assumptions!G$74)</f>
        <v>7.5712000000000002</v>
      </c>
      <c r="G23" s="277">
        <v>11.5</v>
      </c>
      <c r="H23" s="280">
        <f t="shared" si="9"/>
        <v>2415.304347826087</v>
      </c>
      <c r="I23" s="278">
        <v>7.4999999999999997E-2</v>
      </c>
      <c r="J23" s="277" t="s">
        <v>579</v>
      </c>
      <c r="K23" s="92"/>
      <c r="L23" s="107">
        <f>'Year 1 Traffic'!B$24*'Beer Revenue'!$I23</f>
        <v>250.36264285714284</v>
      </c>
      <c r="M23" s="107">
        <f>'Year 1 Traffic'!C$24*'Beer Revenue'!$I23</f>
        <v>266.17856249999994</v>
      </c>
      <c r="N23" s="107">
        <f>'Year 1 Traffic'!D$24*'Beer Revenue'!$I23</f>
        <v>375.54396428571431</v>
      </c>
      <c r="O23" s="107">
        <f>'Year 1 Traffic'!E$24*'Beer Revenue'!$I23</f>
        <v>444.19178571428569</v>
      </c>
      <c r="P23" s="107">
        <f>'Year 1 Traffic'!F$24*'Beer Revenue'!$I23</f>
        <v>500.72528571428569</v>
      </c>
      <c r="Q23" s="107">
        <f>'Year 1 Traffic'!G$24*'Beer Revenue'!$I23</f>
        <v>444.19178571428569</v>
      </c>
      <c r="R23" s="107">
        <f>'Year 1 Traffic'!H$24*'Beer Revenue'!$I23</f>
        <v>417.27107142857142</v>
      </c>
      <c r="S23" s="107">
        <f>'Year 1 Traffic'!I$24*'Beer Revenue'!$I23</f>
        <v>521.58883928571424</v>
      </c>
      <c r="T23" s="107">
        <f>'Year 1 Traffic'!J$24*'Beer Revenue'!$I23</f>
        <v>504.76339285714278</v>
      </c>
      <c r="U23" s="107">
        <f>'Year 1 Traffic'!K$24*'Beer Revenue'!$I23</f>
        <v>500.72528571428569</v>
      </c>
      <c r="V23" s="107">
        <f>'Year 1 Traffic'!L$24*'Beer Revenue'!$I23</f>
        <v>363.42964285714288</v>
      </c>
      <c r="W23" s="107">
        <f>'Year 1 Traffic'!M$24*'Beer Revenue'!$I23</f>
        <v>333.81685714285715</v>
      </c>
      <c r="X23" s="288">
        <f t="shared" si="4"/>
        <v>4922.7891160714271</v>
      </c>
      <c r="Y23" s="300">
        <f>L23*(1+Assumptions!$D$73)</f>
        <v>287.91703928571422</v>
      </c>
      <c r="Z23" s="107">
        <f>M23*(1+Assumptions!$D$73)</f>
        <v>306.1053468749999</v>
      </c>
      <c r="AA23" s="107">
        <f>N23*(1+Assumptions!$D$73)</f>
        <v>431.87555892857142</v>
      </c>
      <c r="AB23" s="107">
        <f>O23*(1+Assumptions!$D$73)</f>
        <v>510.82055357142849</v>
      </c>
      <c r="AC23" s="107">
        <f>P23*(1+Assumptions!$D$73)</f>
        <v>575.83407857142845</v>
      </c>
      <c r="AD23" s="107">
        <f>Q23*(1+Assumptions!$D$73)</f>
        <v>510.82055357142849</v>
      </c>
      <c r="AE23" s="107">
        <f>R23*(1+Assumptions!$D$73)</f>
        <v>479.86173214285708</v>
      </c>
      <c r="AF23" s="107">
        <f>S23*(1+Assumptions!$D$73)</f>
        <v>599.82716517857136</v>
      </c>
      <c r="AG23" s="107">
        <f>T23*(1+Assumptions!$D$73)</f>
        <v>580.47790178571415</v>
      </c>
      <c r="AH23" s="107">
        <f>U23*(1+Assumptions!$D$73)</f>
        <v>575.83407857142845</v>
      </c>
      <c r="AI23" s="107">
        <f>V23*(1+Assumptions!$D$73)</f>
        <v>417.94408928571426</v>
      </c>
      <c r="AJ23" s="107">
        <f>W23*(1+Assumptions!$D$73)</f>
        <v>383.88938571428571</v>
      </c>
      <c r="AK23" s="288">
        <f t="shared" si="5"/>
        <v>5661.2074834821424</v>
      </c>
      <c r="AL23" s="300">
        <f>Y23*(1+Assumptions!$E$73)</f>
        <v>316.70874321428568</v>
      </c>
      <c r="AM23" s="107">
        <f>Z23*(1+Assumptions!$E$73)</f>
        <v>336.71588156249993</v>
      </c>
      <c r="AN23" s="107">
        <f>AA23*(1+Assumptions!$E$73)</f>
        <v>475.0631148214286</v>
      </c>
      <c r="AO23" s="107">
        <f>AB23*(1+Assumptions!$E$73)</f>
        <v>561.90260892857134</v>
      </c>
      <c r="AP23" s="107">
        <f>AC23*(1+Assumptions!$E$73)</f>
        <v>633.41748642857135</v>
      </c>
      <c r="AQ23" s="107">
        <f>AD23*(1+Assumptions!$E$73)</f>
        <v>561.90260892857134</v>
      </c>
      <c r="AR23" s="107">
        <f>AE23*(1+Assumptions!$E$73)</f>
        <v>527.84790535714285</v>
      </c>
      <c r="AS23" s="107">
        <f>AF23*(1+Assumptions!$E$73)</f>
        <v>659.80988169642853</v>
      </c>
      <c r="AT23" s="107">
        <f>AG23*(1+Assumptions!$E$73)</f>
        <v>638.52569196428567</v>
      </c>
      <c r="AU23" s="107">
        <f>AH23*(1+Assumptions!$E$73)</f>
        <v>633.41748642857135</v>
      </c>
      <c r="AV23" s="107">
        <f>AI23*(1+Assumptions!$E$73)</f>
        <v>459.7384982142857</v>
      </c>
      <c r="AW23" s="107">
        <f>AJ23*(1+Assumptions!$E$73)</f>
        <v>422.27832428571429</v>
      </c>
      <c r="AX23" s="288">
        <f t="shared" si="6"/>
        <v>6227.3282318303563</v>
      </c>
      <c r="AY23" s="300">
        <f>AL23*(1+Assumptions!$F$73)</f>
        <v>332.544180375</v>
      </c>
      <c r="AZ23" s="107">
        <f>AM23*(1+Assumptions!$F$73)</f>
        <v>353.55167564062492</v>
      </c>
      <c r="BA23" s="107">
        <f>AN23*(1+Assumptions!$F$73)</f>
        <v>498.81627056250005</v>
      </c>
      <c r="BB23" s="107">
        <f>AO23*(1+Assumptions!$F$73)</f>
        <v>589.99773937499992</v>
      </c>
      <c r="BC23" s="107">
        <f>AP23*(1+Assumptions!$F$73)</f>
        <v>665.08836074999999</v>
      </c>
      <c r="BD23" s="107">
        <f>AQ23*(1+Assumptions!$F$73)</f>
        <v>589.99773937499992</v>
      </c>
      <c r="BE23" s="107">
        <f>AR23*(1+Assumptions!$F$73)</f>
        <v>554.24030062500003</v>
      </c>
      <c r="BF23" s="107">
        <f>AS23*(1+Assumptions!$F$73)</f>
        <v>692.80037578124995</v>
      </c>
      <c r="BG23" s="107">
        <f>AT23*(1+Assumptions!$F$73)</f>
        <v>670.45197656250002</v>
      </c>
      <c r="BH23" s="107">
        <f>AU23*(1+Assumptions!$F$73)</f>
        <v>665.08836074999999</v>
      </c>
      <c r="BI23" s="107">
        <f>AV23*(1+Assumptions!$F$73)</f>
        <v>482.72542312500002</v>
      </c>
      <c r="BJ23" s="107">
        <f>AW23*(1+Assumptions!$F$73)</f>
        <v>443.39224050000001</v>
      </c>
      <c r="BK23" s="288">
        <f t="shared" si="7"/>
        <v>6538.6946434218753</v>
      </c>
      <c r="BL23" s="300">
        <f>AY23*(1+Assumptions!$G$73)</f>
        <v>349.17138939375002</v>
      </c>
      <c r="BM23" s="107">
        <f>AZ23*(1+Assumptions!$G$73)</f>
        <v>371.22925942265618</v>
      </c>
      <c r="BN23" s="107">
        <f>BA23*(1+Assumptions!$G$73)</f>
        <v>523.75708409062509</v>
      </c>
      <c r="BO23" s="107">
        <f>BB23*(1+Assumptions!$G$73)</f>
        <v>619.49762634374997</v>
      </c>
      <c r="BP23" s="107">
        <f>BC23*(1+Assumptions!$G$73)</f>
        <v>698.34277878750004</v>
      </c>
      <c r="BQ23" s="107">
        <f>BD23*(1+Assumptions!$G$73)</f>
        <v>619.49762634374997</v>
      </c>
      <c r="BR23" s="107">
        <f>BE23*(1+Assumptions!$G$73)</f>
        <v>581.95231565625011</v>
      </c>
      <c r="BS23" s="107">
        <f>BF23*(1+Assumptions!$G$73)</f>
        <v>727.44039457031249</v>
      </c>
      <c r="BT23" s="107">
        <f>BG23*(1+Assumptions!$G$73)</f>
        <v>703.97457539062509</v>
      </c>
      <c r="BU23" s="107">
        <f>BH23*(1+Assumptions!$G$73)</f>
        <v>698.34277878750004</v>
      </c>
      <c r="BV23" s="107">
        <f>BI23*(1+Assumptions!$G$73)</f>
        <v>506.86169428125004</v>
      </c>
      <c r="BW23" s="107">
        <f>BJ23*(1+Assumptions!$G$73)</f>
        <v>465.56185252500001</v>
      </c>
      <c r="BX23" s="288">
        <f t="shared" si="8"/>
        <v>6865.6293755929701</v>
      </c>
      <c r="BY23" s="102">
        <f t="shared" si="10"/>
        <v>30215.648850398768</v>
      </c>
    </row>
    <row r="24" spans="1:77" ht="14.5">
      <c r="A24" s="92"/>
      <c r="B24" s="276">
        <v>9</v>
      </c>
      <c r="C24" s="272">
        <f>B24*(1+Assumptions!D$74)</f>
        <v>9</v>
      </c>
      <c r="D24" s="272">
        <f>C24*(1+Assumptions!E$74)</f>
        <v>9.36</v>
      </c>
      <c r="E24" s="272">
        <f>D24*(1+Assumptions!F$74)</f>
        <v>9.36</v>
      </c>
      <c r="F24" s="272">
        <f>E24*(1+Assumptions!G$74)</f>
        <v>9.7343999999999991</v>
      </c>
      <c r="G24" s="277">
        <v>9</v>
      </c>
      <c r="H24" s="280">
        <f>B24/G24*128*31</f>
        <v>3968</v>
      </c>
      <c r="I24" s="278">
        <v>2.5000000000000001E-2</v>
      </c>
      <c r="J24" s="277" t="s">
        <v>509</v>
      </c>
      <c r="K24" s="92"/>
      <c r="L24" s="107">
        <f>'Year 1 Traffic'!B$24*'Beer Revenue'!$I24</f>
        <v>83.454214285714286</v>
      </c>
      <c r="M24" s="107">
        <f>'Year 1 Traffic'!C$24*'Beer Revenue'!$I24</f>
        <v>88.726187499999995</v>
      </c>
      <c r="N24" s="107">
        <f>'Year 1 Traffic'!D$24*'Beer Revenue'!$I24</f>
        <v>125.18132142857144</v>
      </c>
      <c r="O24" s="107">
        <f>'Year 1 Traffic'!E$24*'Beer Revenue'!$I24</f>
        <v>148.06392857142859</v>
      </c>
      <c r="P24" s="107">
        <f>'Year 1 Traffic'!F$24*'Beer Revenue'!$I24</f>
        <v>166.90842857142857</v>
      </c>
      <c r="Q24" s="107">
        <f>'Year 1 Traffic'!G$24*'Beer Revenue'!$I24</f>
        <v>148.06392857142859</v>
      </c>
      <c r="R24" s="107">
        <f>'Year 1 Traffic'!H$24*'Beer Revenue'!$I24</f>
        <v>139.09035714285716</v>
      </c>
      <c r="S24" s="107">
        <f>'Year 1 Traffic'!I$24*'Beer Revenue'!$I24</f>
        <v>173.86294642857143</v>
      </c>
      <c r="T24" s="107">
        <f>'Year 1 Traffic'!J$24*'Beer Revenue'!$I24</f>
        <v>168.25446428571428</v>
      </c>
      <c r="U24" s="107">
        <f>'Year 1 Traffic'!K$24*'Beer Revenue'!$I24</f>
        <v>166.90842857142857</v>
      </c>
      <c r="V24" s="107">
        <f>'Year 1 Traffic'!L$24*'Beer Revenue'!$I24</f>
        <v>121.14321428571429</v>
      </c>
      <c r="W24" s="107">
        <f>'Year 1 Traffic'!M$24*'Beer Revenue'!$I24</f>
        <v>111.27228571428573</v>
      </c>
      <c r="X24" s="288">
        <f t="shared" si="4"/>
        <v>1640.9297053571429</v>
      </c>
      <c r="Y24" s="300">
        <f>L24*(1+Assumptions!$D$73)</f>
        <v>95.972346428571427</v>
      </c>
      <c r="Z24" s="107">
        <f>M24*(1+Assumptions!$D$73)</f>
        <v>102.03511562499999</v>
      </c>
      <c r="AA24" s="107">
        <f>N24*(1+Assumptions!$D$73)</f>
        <v>143.95851964285714</v>
      </c>
      <c r="AB24" s="107">
        <f>O24*(1+Assumptions!$D$73)</f>
        <v>170.27351785714288</v>
      </c>
      <c r="AC24" s="107">
        <f>P24*(1+Assumptions!$D$73)</f>
        <v>191.94469285714285</v>
      </c>
      <c r="AD24" s="107">
        <f>Q24*(1+Assumptions!$D$73)</f>
        <v>170.27351785714288</v>
      </c>
      <c r="AE24" s="107">
        <f>R24*(1+Assumptions!$D$73)</f>
        <v>159.95391071428571</v>
      </c>
      <c r="AF24" s="107">
        <f>S24*(1+Assumptions!$D$73)</f>
        <v>199.94238839285714</v>
      </c>
      <c r="AG24" s="107">
        <f>T24*(1+Assumptions!$D$73)</f>
        <v>193.49263392857139</v>
      </c>
      <c r="AH24" s="107">
        <f>U24*(1+Assumptions!$D$73)</f>
        <v>191.94469285714285</v>
      </c>
      <c r="AI24" s="107">
        <f>V24*(1+Assumptions!$D$73)</f>
        <v>139.31469642857144</v>
      </c>
      <c r="AJ24" s="107">
        <f>W24*(1+Assumptions!$D$73)</f>
        <v>127.96312857142858</v>
      </c>
      <c r="AK24" s="288">
        <f t="shared" si="5"/>
        <v>1887.0691611607144</v>
      </c>
      <c r="AL24" s="300">
        <f>Y24*(1+Assumptions!$E$73)</f>
        <v>105.56958107142857</v>
      </c>
      <c r="AM24" s="107">
        <f>Z24*(1+Assumptions!$E$73)</f>
        <v>112.2386271875</v>
      </c>
      <c r="AN24" s="107">
        <f>AA24*(1+Assumptions!$E$73)</f>
        <v>158.35437160714287</v>
      </c>
      <c r="AO24" s="107">
        <f>AB24*(1+Assumptions!$E$73)</f>
        <v>187.30086964285718</v>
      </c>
      <c r="AP24" s="107">
        <f>AC24*(1+Assumptions!$E$73)</f>
        <v>211.13916214285715</v>
      </c>
      <c r="AQ24" s="107">
        <f>AD24*(1+Assumptions!$E$73)</f>
        <v>187.30086964285718</v>
      </c>
      <c r="AR24" s="107">
        <f>AE24*(1+Assumptions!$E$73)</f>
        <v>175.94930178571428</v>
      </c>
      <c r="AS24" s="107">
        <f>AF24*(1+Assumptions!$E$73)</f>
        <v>219.93662723214288</v>
      </c>
      <c r="AT24" s="107">
        <f>AG24*(1+Assumptions!$E$73)</f>
        <v>212.84189732142855</v>
      </c>
      <c r="AU24" s="107">
        <f>AH24*(1+Assumptions!$E$73)</f>
        <v>211.13916214285715</v>
      </c>
      <c r="AV24" s="107">
        <f>AI24*(1+Assumptions!$E$73)</f>
        <v>153.2461660714286</v>
      </c>
      <c r="AW24" s="107">
        <f>AJ24*(1+Assumptions!$E$73)</f>
        <v>140.75944142857145</v>
      </c>
      <c r="AX24" s="288">
        <f t="shared" si="6"/>
        <v>2075.7760772767861</v>
      </c>
      <c r="AY24" s="300">
        <f>AL24*(1+Assumptions!$F$73)</f>
        <v>110.848060125</v>
      </c>
      <c r="AZ24" s="107">
        <f>AM24*(1+Assumptions!$F$73)</f>
        <v>117.85055854687501</v>
      </c>
      <c r="BA24" s="107">
        <f>AN24*(1+Assumptions!$F$73)</f>
        <v>166.27209018750003</v>
      </c>
      <c r="BB24" s="107">
        <f>AO24*(1+Assumptions!$F$73)</f>
        <v>196.66591312500006</v>
      </c>
      <c r="BC24" s="107">
        <f>AP24*(1+Assumptions!$F$73)</f>
        <v>221.69612025000001</v>
      </c>
      <c r="BD24" s="107">
        <f>AQ24*(1+Assumptions!$F$73)</f>
        <v>196.66591312500006</v>
      </c>
      <c r="BE24" s="107">
        <f>AR24*(1+Assumptions!$F$73)</f>
        <v>184.74676687499999</v>
      </c>
      <c r="BF24" s="107">
        <f>AS24*(1+Assumptions!$F$73)</f>
        <v>230.93345859375003</v>
      </c>
      <c r="BG24" s="107">
        <f>AT24*(1+Assumptions!$F$73)</f>
        <v>223.48399218749998</v>
      </c>
      <c r="BH24" s="107">
        <f>AU24*(1+Assumptions!$F$73)</f>
        <v>221.69612025000001</v>
      </c>
      <c r="BI24" s="107">
        <f>AV24*(1+Assumptions!$F$73)</f>
        <v>160.90847437500005</v>
      </c>
      <c r="BJ24" s="107">
        <f>AW24*(1+Assumptions!$F$73)</f>
        <v>147.79741350000003</v>
      </c>
      <c r="BK24" s="288">
        <f t="shared" si="7"/>
        <v>2179.5648811406249</v>
      </c>
      <c r="BL24" s="300">
        <f>AY24*(1+Assumptions!$G$73)</f>
        <v>116.39046313125</v>
      </c>
      <c r="BM24" s="107">
        <f>AZ24*(1+Assumptions!$G$73)</f>
        <v>123.74308647421876</v>
      </c>
      <c r="BN24" s="107">
        <f>BA24*(1+Assumptions!$G$73)</f>
        <v>174.58569469687504</v>
      </c>
      <c r="BO24" s="107">
        <f>BB24*(1+Assumptions!$G$73)</f>
        <v>206.49920878125008</v>
      </c>
      <c r="BP24" s="107">
        <f>BC24*(1+Assumptions!$G$73)</f>
        <v>232.7809262625</v>
      </c>
      <c r="BQ24" s="107">
        <f>BD24*(1+Assumptions!$G$73)</f>
        <v>206.49920878125008</v>
      </c>
      <c r="BR24" s="107">
        <f>BE24*(1+Assumptions!$G$73)</f>
        <v>193.98410521874999</v>
      </c>
      <c r="BS24" s="107">
        <f>BF24*(1+Assumptions!$G$73)</f>
        <v>242.48013152343754</v>
      </c>
      <c r="BT24" s="107">
        <f>BG24*(1+Assumptions!$G$73)</f>
        <v>234.65819179687497</v>
      </c>
      <c r="BU24" s="107">
        <f>BH24*(1+Assumptions!$G$73)</f>
        <v>232.7809262625</v>
      </c>
      <c r="BV24" s="107">
        <f>BI24*(1+Assumptions!$G$73)</f>
        <v>168.95389809375007</v>
      </c>
      <c r="BW24" s="107">
        <f>BJ24*(1+Assumptions!$G$73)</f>
        <v>155.18728417500003</v>
      </c>
      <c r="BX24" s="288">
        <f t="shared" si="8"/>
        <v>2288.543125197657</v>
      </c>
      <c r="BY24" s="102">
        <f t="shared" si="10"/>
        <v>10071.882950132926</v>
      </c>
    </row>
    <row r="25" spans="1:77" ht="14.5">
      <c r="A25" s="92"/>
      <c r="B25" s="276"/>
      <c r="C25" s="272">
        <f>B25*(1+Assumptions!D$74)</f>
        <v>0</v>
      </c>
      <c r="D25" s="272">
        <f>C25*(1+Assumptions!E$74)</f>
        <v>0</v>
      </c>
      <c r="E25" s="272">
        <f>D25*(1+Assumptions!F$74)</f>
        <v>0</v>
      </c>
      <c r="F25" s="272">
        <f>E25*(1+Assumptions!G$74)</f>
        <v>0</v>
      </c>
      <c r="G25" s="277"/>
      <c r="H25" s="280"/>
      <c r="I25" s="278"/>
      <c r="J25" s="277"/>
      <c r="K25" s="92"/>
      <c r="L25" s="107">
        <f>'Year 1 Traffic'!B$24*'Beer Revenue'!$I25</f>
        <v>0</v>
      </c>
      <c r="M25" s="107">
        <f>'Year 1 Traffic'!C$24*'Beer Revenue'!$I25</f>
        <v>0</v>
      </c>
      <c r="N25" s="107">
        <f>'Year 1 Traffic'!D$24*'Beer Revenue'!$I25</f>
        <v>0</v>
      </c>
      <c r="O25" s="107">
        <f>'Year 1 Traffic'!E$24*'Beer Revenue'!$I25</f>
        <v>0</v>
      </c>
      <c r="P25" s="107">
        <f>'Year 1 Traffic'!F$24*'Beer Revenue'!$I25</f>
        <v>0</v>
      </c>
      <c r="Q25" s="107">
        <f>'Year 1 Traffic'!G$24*'Beer Revenue'!$I25</f>
        <v>0</v>
      </c>
      <c r="R25" s="107">
        <f>'Year 1 Traffic'!H$24*'Beer Revenue'!$I25</f>
        <v>0</v>
      </c>
      <c r="S25" s="107">
        <f>'Year 1 Traffic'!I$24*'Beer Revenue'!$I25</f>
        <v>0</v>
      </c>
      <c r="T25" s="107">
        <f>'Year 1 Traffic'!J$24*'Beer Revenue'!$I25</f>
        <v>0</v>
      </c>
      <c r="U25" s="107">
        <f>'Year 1 Traffic'!K$24*'Beer Revenue'!$I25</f>
        <v>0</v>
      </c>
      <c r="V25" s="107">
        <f>'Year 1 Traffic'!L$24*'Beer Revenue'!$I25</f>
        <v>0</v>
      </c>
      <c r="W25" s="107">
        <f>'Year 1 Traffic'!M$24*'Beer Revenue'!$I25</f>
        <v>0</v>
      </c>
      <c r="X25" s="288">
        <f>SUM(L25:W25)</f>
        <v>0</v>
      </c>
      <c r="Y25" s="300">
        <f>L25*(1+Assumptions!$D$73)</f>
        <v>0</v>
      </c>
      <c r="Z25" s="107">
        <f>M25*(1+Assumptions!$D$73)</f>
        <v>0</v>
      </c>
      <c r="AA25" s="107">
        <f>N25*(1+Assumptions!$D$73)</f>
        <v>0</v>
      </c>
      <c r="AB25" s="107">
        <f>O25*(1+Assumptions!$D$73)</f>
        <v>0</v>
      </c>
      <c r="AC25" s="107">
        <f>P25*(1+Assumptions!$D$73)</f>
        <v>0</v>
      </c>
      <c r="AD25" s="107">
        <f>Q25*(1+Assumptions!$D$73)</f>
        <v>0</v>
      </c>
      <c r="AE25" s="107">
        <f>R25*(1+Assumptions!$D$73)</f>
        <v>0</v>
      </c>
      <c r="AF25" s="107">
        <f>S25*(1+Assumptions!$D$73)</f>
        <v>0</v>
      </c>
      <c r="AG25" s="107">
        <f>T25*(1+Assumptions!$D$73)</f>
        <v>0</v>
      </c>
      <c r="AH25" s="107">
        <f>U25*(1+Assumptions!$D$73)</f>
        <v>0</v>
      </c>
      <c r="AI25" s="107">
        <f>V25*(1+Assumptions!$D$73)</f>
        <v>0</v>
      </c>
      <c r="AJ25" s="107">
        <f>W25*(1+Assumptions!$D$73)</f>
        <v>0</v>
      </c>
      <c r="AK25" s="288">
        <f t="shared" si="5"/>
        <v>0</v>
      </c>
      <c r="AL25" s="300">
        <f>Y25*(1+Assumptions!$E$73)</f>
        <v>0</v>
      </c>
      <c r="AM25" s="107">
        <f>Z25*(1+Assumptions!$E$73)</f>
        <v>0</v>
      </c>
      <c r="AN25" s="107">
        <f>AA25*(1+Assumptions!$E$73)</f>
        <v>0</v>
      </c>
      <c r="AO25" s="107">
        <f>AB25*(1+Assumptions!$E$73)</f>
        <v>0</v>
      </c>
      <c r="AP25" s="107">
        <f>AC25*(1+Assumptions!$E$73)</f>
        <v>0</v>
      </c>
      <c r="AQ25" s="107">
        <f>AD25*(1+Assumptions!$E$73)</f>
        <v>0</v>
      </c>
      <c r="AR25" s="107">
        <f>AE25*(1+Assumptions!$E$73)</f>
        <v>0</v>
      </c>
      <c r="AS25" s="107">
        <f>AF25*(1+Assumptions!$E$73)</f>
        <v>0</v>
      </c>
      <c r="AT25" s="107">
        <f>AG25*(1+Assumptions!$E$73)</f>
        <v>0</v>
      </c>
      <c r="AU25" s="107">
        <f>AH25*(1+Assumptions!$E$73)</f>
        <v>0</v>
      </c>
      <c r="AV25" s="107">
        <f>AI25*(1+Assumptions!$E$73)</f>
        <v>0</v>
      </c>
      <c r="AW25" s="107">
        <f>AJ25*(1+Assumptions!$E$73)</f>
        <v>0</v>
      </c>
      <c r="AX25" s="288">
        <f t="shared" si="6"/>
        <v>0</v>
      </c>
      <c r="AY25" s="300">
        <f>AL25*(1+Assumptions!$F$73)</f>
        <v>0</v>
      </c>
      <c r="AZ25" s="107">
        <f>AM25*(1+Assumptions!$F$73)</f>
        <v>0</v>
      </c>
      <c r="BA25" s="107">
        <f>AN25*(1+Assumptions!$F$73)</f>
        <v>0</v>
      </c>
      <c r="BB25" s="107">
        <f>AO25*(1+Assumptions!$F$73)</f>
        <v>0</v>
      </c>
      <c r="BC25" s="107">
        <f>AP25*(1+Assumptions!$F$73)</f>
        <v>0</v>
      </c>
      <c r="BD25" s="107">
        <f>AQ25*(1+Assumptions!$F$73)</f>
        <v>0</v>
      </c>
      <c r="BE25" s="107">
        <f>AR25*(1+Assumptions!$F$73)</f>
        <v>0</v>
      </c>
      <c r="BF25" s="107">
        <f>AS25*(1+Assumptions!$F$73)</f>
        <v>0</v>
      </c>
      <c r="BG25" s="107">
        <f>AT25*(1+Assumptions!$F$73)</f>
        <v>0</v>
      </c>
      <c r="BH25" s="107">
        <f>AU25*(1+Assumptions!$F$73)</f>
        <v>0</v>
      </c>
      <c r="BI25" s="107">
        <f>AV25*(1+Assumptions!$F$73)</f>
        <v>0</v>
      </c>
      <c r="BJ25" s="107">
        <f>AW25*(1+Assumptions!$F$73)</f>
        <v>0</v>
      </c>
      <c r="BK25" s="288">
        <f t="shared" si="7"/>
        <v>0</v>
      </c>
      <c r="BL25" s="300">
        <f>AY25*(1+Assumptions!$G$73)</f>
        <v>0</v>
      </c>
      <c r="BM25" s="107">
        <f>AZ25*(1+Assumptions!$G$73)</f>
        <v>0</v>
      </c>
      <c r="BN25" s="107">
        <f>BA25*(1+Assumptions!$G$73)</f>
        <v>0</v>
      </c>
      <c r="BO25" s="107">
        <f>BB25*(1+Assumptions!$G$73)</f>
        <v>0</v>
      </c>
      <c r="BP25" s="107">
        <f>BC25*(1+Assumptions!$G$73)</f>
        <v>0</v>
      </c>
      <c r="BQ25" s="107">
        <f>BD25*(1+Assumptions!$G$73)</f>
        <v>0</v>
      </c>
      <c r="BR25" s="107">
        <f>BE25*(1+Assumptions!$G$73)</f>
        <v>0</v>
      </c>
      <c r="BS25" s="107">
        <f>BF25*(1+Assumptions!$G$73)</f>
        <v>0</v>
      </c>
      <c r="BT25" s="107">
        <f>BG25*(1+Assumptions!$G$73)</f>
        <v>0</v>
      </c>
      <c r="BU25" s="107">
        <f>BH25*(1+Assumptions!$G$73)</f>
        <v>0</v>
      </c>
      <c r="BV25" s="107">
        <f>BI25*(1+Assumptions!$G$73)</f>
        <v>0</v>
      </c>
      <c r="BW25" s="107">
        <f>BJ25*(1+Assumptions!$G$73)</f>
        <v>0</v>
      </c>
      <c r="BX25" s="288">
        <f t="shared" si="8"/>
        <v>0</v>
      </c>
      <c r="BY25" s="102">
        <f>X25+AK25+AX25+BK25+BX25</f>
        <v>0</v>
      </c>
    </row>
    <row r="26" spans="1:77" ht="14.5">
      <c r="A26" s="92"/>
      <c r="B26" s="276"/>
      <c r="C26" s="272">
        <f>B26*(1+Assumptions!D$74)</f>
        <v>0</v>
      </c>
      <c r="D26" s="272">
        <f>C26*(1+Assumptions!E$74)</f>
        <v>0</v>
      </c>
      <c r="E26" s="272">
        <f>D26*(1+Assumptions!F$74)</f>
        <v>0</v>
      </c>
      <c r="F26" s="272">
        <f>E26*(1+Assumptions!G$74)</f>
        <v>0</v>
      </c>
      <c r="G26" s="277"/>
      <c r="H26" s="280"/>
      <c r="I26" s="278"/>
      <c r="J26" s="277"/>
      <c r="K26" s="92"/>
      <c r="L26" s="107">
        <f>'Year 1 Traffic'!B$24*'Beer Revenue'!$I26</f>
        <v>0</v>
      </c>
      <c r="M26" s="107">
        <f>'Year 1 Traffic'!C$24*'Beer Revenue'!$I26</f>
        <v>0</v>
      </c>
      <c r="N26" s="107">
        <f>'Year 1 Traffic'!D$24*'Beer Revenue'!$I26</f>
        <v>0</v>
      </c>
      <c r="O26" s="107">
        <f>'Year 1 Traffic'!E$24*'Beer Revenue'!$I26</f>
        <v>0</v>
      </c>
      <c r="P26" s="107">
        <f>'Year 1 Traffic'!F$24*'Beer Revenue'!$I26</f>
        <v>0</v>
      </c>
      <c r="Q26" s="107">
        <f>'Year 1 Traffic'!G$24*'Beer Revenue'!$I26</f>
        <v>0</v>
      </c>
      <c r="R26" s="107">
        <f>'Year 1 Traffic'!H$24*'Beer Revenue'!$I26</f>
        <v>0</v>
      </c>
      <c r="S26" s="107">
        <f>'Year 1 Traffic'!I$24*'Beer Revenue'!$I26</f>
        <v>0</v>
      </c>
      <c r="T26" s="107">
        <f>'Year 1 Traffic'!J$24*'Beer Revenue'!$I26</f>
        <v>0</v>
      </c>
      <c r="U26" s="107">
        <f>'Year 1 Traffic'!K$24*'Beer Revenue'!$I26</f>
        <v>0</v>
      </c>
      <c r="V26" s="107">
        <f>'Year 1 Traffic'!L$24*'Beer Revenue'!$I26</f>
        <v>0</v>
      </c>
      <c r="W26" s="107">
        <f>'Year 1 Traffic'!M$24*'Beer Revenue'!$I26</f>
        <v>0</v>
      </c>
      <c r="X26" s="288">
        <f>SUM(L26:W26)</f>
        <v>0</v>
      </c>
      <c r="Y26" s="300">
        <f>L26*(1+Assumptions!$D$73)</f>
        <v>0</v>
      </c>
      <c r="Z26" s="107">
        <f>M26*(1+Assumptions!$D$73)</f>
        <v>0</v>
      </c>
      <c r="AA26" s="107">
        <f>N26*(1+Assumptions!$D$73)</f>
        <v>0</v>
      </c>
      <c r="AB26" s="107">
        <f>O26*(1+Assumptions!$D$73)</f>
        <v>0</v>
      </c>
      <c r="AC26" s="107">
        <f>P26*(1+Assumptions!$D$73)</f>
        <v>0</v>
      </c>
      <c r="AD26" s="107">
        <f>Q26*(1+Assumptions!$D$73)</f>
        <v>0</v>
      </c>
      <c r="AE26" s="107">
        <f>R26*(1+Assumptions!$D$73)</f>
        <v>0</v>
      </c>
      <c r="AF26" s="107">
        <f>S26*(1+Assumptions!$D$73)</f>
        <v>0</v>
      </c>
      <c r="AG26" s="107">
        <f>T26*(1+Assumptions!$D$73)</f>
        <v>0</v>
      </c>
      <c r="AH26" s="107">
        <f>U26*(1+Assumptions!$D$73)</f>
        <v>0</v>
      </c>
      <c r="AI26" s="107">
        <f>V26*(1+Assumptions!$D$73)</f>
        <v>0</v>
      </c>
      <c r="AJ26" s="107">
        <f>W26*(1+Assumptions!$D$73)</f>
        <v>0</v>
      </c>
      <c r="AK26" s="288">
        <f t="shared" si="5"/>
        <v>0</v>
      </c>
      <c r="AL26" s="300">
        <f>Y26*(1+Assumptions!$E$73)</f>
        <v>0</v>
      </c>
      <c r="AM26" s="107">
        <f>Z26*(1+Assumptions!$E$73)</f>
        <v>0</v>
      </c>
      <c r="AN26" s="107">
        <f>AA26*(1+Assumptions!$E$73)</f>
        <v>0</v>
      </c>
      <c r="AO26" s="107">
        <f>AB26*(1+Assumptions!$E$73)</f>
        <v>0</v>
      </c>
      <c r="AP26" s="107">
        <f>AC26*(1+Assumptions!$E$73)</f>
        <v>0</v>
      </c>
      <c r="AQ26" s="107">
        <f>AD26*(1+Assumptions!$E$73)</f>
        <v>0</v>
      </c>
      <c r="AR26" s="107">
        <f>AE26*(1+Assumptions!$E$73)</f>
        <v>0</v>
      </c>
      <c r="AS26" s="107">
        <f>AF26*(1+Assumptions!$E$73)</f>
        <v>0</v>
      </c>
      <c r="AT26" s="107">
        <f>AG26*(1+Assumptions!$E$73)</f>
        <v>0</v>
      </c>
      <c r="AU26" s="107">
        <f>AH26*(1+Assumptions!$E$73)</f>
        <v>0</v>
      </c>
      <c r="AV26" s="107">
        <f>AI26*(1+Assumptions!$E$73)</f>
        <v>0</v>
      </c>
      <c r="AW26" s="107">
        <f>AJ26*(1+Assumptions!$E$73)</f>
        <v>0</v>
      </c>
      <c r="AX26" s="288">
        <f t="shared" si="6"/>
        <v>0</v>
      </c>
      <c r="AY26" s="300">
        <f>AL26*(1+Assumptions!$F$73)</f>
        <v>0</v>
      </c>
      <c r="AZ26" s="107">
        <f>AM26*(1+Assumptions!$F$73)</f>
        <v>0</v>
      </c>
      <c r="BA26" s="107">
        <f>AN26*(1+Assumptions!$F$73)</f>
        <v>0</v>
      </c>
      <c r="BB26" s="107">
        <f>AO26*(1+Assumptions!$F$73)</f>
        <v>0</v>
      </c>
      <c r="BC26" s="107">
        <f>AP26*(1+Assumptions!$F$73)</f>
        <v>0</v>
      </c>
      <c r="BD26" s="107">
        <f>AQ26*(1+Assumptions!$F$73)</f>
        <v>0</v>
      </c>
      <c r="BE26" s="107">
        <f>AR26*(1+Assumptions!$F$73)</f>
        <v>0</v>
      </c>
      <c r="BF26" s="107">
        <f>AS26*(1+Assumptions!$F$73)</f>
        <v>0</v>
      </c>
      <c r="BG26" s="107">
        <f>AT26*(1+Assumptions!$F$73)</f>
        <v>0</v>
      </c>
      <c r="BH26" s="107">
        <f>AU26*(1+Assumptions!$F$73)</f>
        <v>0</v>
      </c>
      <c r="BI26" s="107">
        <f>AV26*(1+Assumptions!$F$73)</f>
        <v>0</v>
      </c>
      <c r="BJ26" s="107">
        <f>AW26*(1+Assumptions!$F$73)</f>
        <v>0</v>
      </c>
      <c r="BK26" s="288">
        <f t="shared" si="7"/>
        <v>0</v>
      </c>
      <c r="BL26" s="300">
        <f>AY26*(1+Assumptions!$G$73)</f>
        <v>0</v>
      </c>
      <c r="BM26" s="107">
        <f>AZ26*(1+Assumptions!$G$73)</f>
        <v>0</v>
      </c>
      <c r="BN26" s="107">
        <f>BA26*(1+Assumptions!$G$73)</f>
        <v>0</v>
      </c>
      <c r="BO26" s="107">
        <f>BB26*(1+Assumptions!$G$73)</f>
        <v>0</v>
      </c>
      <c r="BP26" s="107">
        <f>BC26*(1+Assumptions!$G$73)</f>
        <v>0</v>
      </c>
      <c r="BQ26" s="107">
        <f>BD26*(1+Assumptions!$G$73)</f>
        <v>0</v>
      </c>
      <c r="BR26" s="107">
        <f>BE26*(1+Assumptions!$G$73)</f>
        <v>0</v>
      </c>
      <c r="BS26" s="107">
        <f>BF26*(1+Assumptions!$G$73)</f>
        <v>0</v>
      </c>
      <c r="BT26" s="107">
        <f>BG26*(1+Assumptions!$G$73)</f>
        <v>0</v>
      </c>
      <c r="BU26" s="107">
        <f>BH26*(1+Assumptions!$G$73)</f>
        <v>0</v>
      </c>
      <c r="BV26" s="107">
        <f>BI26*(1+Assumptions!$G$73)</f>
        <v>0</v>
      </c>
      <c r="BW26" s="107">
        <f>BJ26*(1+Assumptions!$G$73)</f>
        <v>0</v>
      </c>
      <c r="BX26" s="288">
        <f t="shared" si="8"/>
        <v>0</v>
      </c>
      <c r="BY26" s="102">
        <f t="shared" si="10"/>
        <v>0</v>
      </c>
    </row>
    <row r="27" spans="1:77" ht="14.5">
      <c r="A27" s="92"/>
      <c r="B27" s="276"/>
      <c r="C27" s="272">
        <f>B27*(1+Assumptions!D$74)</f>
        <v>0</v>
      </c>
      <c r="D27" s="272">
        <f>C27*(1+Assumptions!E$74)</f>
        <v>0</v>
      </c>
      <c r="E27" s="272">
        <f>D27*(1+Assumptions!F$74)</f>
        <v>0</v>
      </c>
      <c r="F27" s="272">
        <f>E27*(1+Assumptions!G$74)</f>
        <v>0</v>
      </c>
      <c r="G27" s="277"/>
      <c r="H27" s="280"/>
      <c r="I27" s="278"/>
      <c r="J27" s="277"/>
      <c r="K27" s="92"/>
      <c r="L27" s="107">
        <f>'Year 1 Traffic'!B$24*'Beer Revenue'!$I27</f>
        <v>0</v>
      </c>
      <c r="M27" s="107">
        <f>'Year 1 Traffic'!C$24*'Beer Revenue'!$I27</f>
        <v>0</v>
      </c>
      <c r="N27" s="107">
        <f>'Year 1 Traffic'!D$24*'Beer Revenue'!$I27</f>
        <v>0</v>
      </c>
      <c r="O27" s="107">
        <f>'Year 1 Traffic'!E$24*'Beer Revenue'!$I27</f>
        <v>0</v>
      </c>
      <c r="P27" s="107">
        <f>'Year 1 Traffic'!F$24*'Beer Revenue'!$I27</f>
        <v>0</v>
      </c>
      <c r="Q27" s="107">
        <f>'Year 1 Traffic'!G$24*'Beer Revenue'!$I27</f>
        <v>0</v>
      </c>
      <c r="R27" s="107">
        <f>'Year 1 Traffic'!H$24*'Beer Revenue'!$I27</f>
        <v>0</v>
      </c>
      <c r="S27" s="107">
        <f>'Year 1 Traffic'!I$24*'Beer Revenue'!$I27</f>
        <v>0</v>
      </c>
      <c r="T27" s="107">
        <f>'Year 1 Traffic'!J$24*'Beer Revenue'!$I27</f>
        <v>0</v>
      </c>
      <c r="U27" s="107">
        <f>'Year 1 Traffic'!K$24*'Beer Revenue'!$I27</f>
        <v>0</v>
      </c>
      <c r="V27" s="107">
        <f>'Year 1 Traffic'!L$24*'Beer Revenue'!$I27</f>
        <v>0</v>
      </c>
      <c r="W27" s="107">
        <f>'Year 1 Traffic'!M$24*'Beer Revenue'!$I27</f>
        <v>0</v>
      </c>
      <c r="X27" s="288">
        <f>SUM(L27:W27)</f>
        <v>0</v>
      </c>
      <c r="Y27" s="300">
        <f>L27*(1+Assumptions!$D$73)</f>
        <v>0</v>
      </c>
      <c r="Z27" s="107">
        <f>M27*(1+Assumptions!$D$73)</f>
        <v>0</v>
      </c>
      <c r="AA27" s="107">
        <f>N27*(1+Assumptions!$D$73)</f>
        <v>0</v>
      </c>
      <c r="AB27" s="107">
        <f>O27*(1+Assumptions!$D$73)</f>
        <v>0</v>
      </c>
      <c r="AC27" s="107">
        <f>P27*(1+Assumptions!$D$73)</f>
        <v>0</v>
      </c>
      <c r="AD27" s="107">
        <f>Q27*(1+Assumptions!$D$73)</f>
        <v>0</v>
      </c>
      <c r="AE27" s="107">
        <f>R27*(1+Assumptions!$D$73)</f>
        <v>0</v>
      </c>
      <c r="AF27" s="107">
        <f>S27*(1+Assumptions!$D$73)</f>
        <v>0</v>
      </c>
      <c r="AG27" s="107">
        <f>T27*(1+Assumptions!$D$73)</f>
        <v>0</v>
      </c>
      <c r="AH27" s="107">
        <f>U27*(1+Assumptions!$D$73)</f>
        <v>0</v>
      </c>
      <c r="AI27" s="107">
        <f>V27*(1+Assumptions!$D$73)</f>
        <v>0</v>
      </c>
      <c r="AJ27" s="107">
        <f>W27*(1+Assumptions!$D$73)</f>
        <v>0</v>
      </c>
      <c r="AK27" s="288">
        <f t="shared" si="5"/>
        <v>0</v>
      </c>
      <c r="AL27" s="300">
        <f>Y27*(1+Assumptions!$E$73)</f>
        <v>0</v>
      </c>
      <c r="AM27" s="107">
        <f>Z27*(1+Assumptions!$E$73)</f>
        <v>0</v>
      </c>
      <c r="AN27" s="107">
        <f>AA27*(1+Assumptions!$E$73)</f>
        <v>0</v>
      </c>
      <c r="AO27" s="107">
        <f>AB27*(1+Assumptions!$E$73)</f>
        <v>0</v>
      </c>
      <c r="AP27" s="107">
        <f>AC27*(1+Assumptions!$E$73)</f>
        <v>0</v>
      </c>
      <c r="AQ27" s="107">
        <f>AD27*(1+Assumptions!$E$73)</f>
        <v>0</v>
      </c>
      <c r="AR27" s="107">
        <f>AE27*(1+Assumptions!$E$73)</f>
        <v>0</v>
      </c>
      <c r="AS27" s="107">
        <f>AF27*(1+Assumptions!$E$73)</f>
        <v>0</v>
      </c>
      <c r="AT27" s="107">
        <f>AG27*(1+Assumptions!$E$73)</f>
        <v>0</v>
      </c>
      <c r="AU27" s="107">
        <f>AH27*(1+Assumptions!$E$73)</f>
        <v>0</v>
      </c>
      <c r="AV27" s="107">
        <f>AI27*(1+Assumptions!$E$73)</f>
        <v>0</v>
      </c>
      <c r="AW27" s="107">
        <f>AJ27*(1+Assumptions!$E$73)</f>
        <v>0</v>
      </c>
      <c r="AX27" s="288">
        <f t="shared" si="6"/>
        <v>0</v>
      </c>
      <c r="AY27" s="300">
        <f>AL27*(1+Assumptions!$F$73)</f>
        <v>0</v>
      </c>
      <c r="AZ27" s="107">
        <f>AM27*(1+Assumptions!$F$73)</f>
        <v>0</v>
      </c>
      <c r="BA27" s="107">
        <f>AN27*(1+Assumptions!$F$73)</f>
        <v>0</v>
      </c>
      <c r="BB27" s="107">
        <f>AO27*(1+Assumptions!$F$73)</f>
        <v>0</v>
      </c>
      <c r="BC27" s="107">
        <f>AP27*(1+Assumptions!$F$73)</f>
        <v>0</v>
      </c>
      <c r="BD27" s="107">
        <f>AQ27*(1+Assumptions!$F$73)</f>
        <v>0</v>
      </c>
      <c r="BE27" s="107">
        <f>AR27*(1+Assumptions!$F$73)</f>
        <v>0</v>
      </c>
      <c r="BF27" s="107">
        <f>AS27*(1+Assumptions!$F$73)</f>
        <v>0</v>
      </c>
      <c r="BG27" s="107">
        <f>AT27*(1+Assumptions!$F$73)</f>
        <v>0</v>
      </c>
      <c r="BH27" s="107">
        <f>AU27*(1+Assumptions!$F$73)</f>
        <v>0</v>
      </c>
      <c r="BI27" s="107">
        <f>AV27*(1+Assumptions!$F$73)</f>
        <v>0</v>
      </c>
      <c r="BJ27" s="107">
        <f>AW27*(1+Assumptions!$F$73)</f>
        <v>0</v>
      </c>
      <c r="BK27" s="288">
        <f t="shared" si="7"/>
        <v>0</v>
      </c>
      <c r="BL27" s="300">
        <f>AY27*(1+Assumptions!$G$73)</f>
        <v>0</v>
      </c>
      <c r="BM27" s="107">
        <f>AZ27*(1+Assumptions!$G$73)</f>
        <v>0</v>
      </c>
      <c r="BN27" s="107">
        <f>BA27*(1+Assumptions!$G$73)</f>
        <v>0</v>
      </c>
      <c r="BO27" s="107">
        <f>BB27*(1+Assumptions!$G$73)</f>
        <v>0</v>
      </c>
      <c r="BP27" s="107">
        <f>BC27*(1+Assumptions!$G$73)</f>
        <v>0</v>
      </c>
      <c r="BQ27" s="107">
        <f>BD27*(1+Assumptions!$G$73)</f>
        <v>0</v>
      </c>
      <c r="BR27" s="107">
        <f>BE27*(1+Assumptions!$G$73)</f>
        <v>0</v>
      </c>
      <c r="BS27" s="107">
        <f>BF27*(1+Assumptions!$G$73)</f>
        <v>0</v>
      </c>
      <c r="BT27" s="107">
        <f>BG27*(1+Assumptions!$G$73)</f>
        <v>0</v>
      </c>
      <c r="BU27" s="107">
        <f>BH27*(1+Assumptions!$G$73)</f>
        <v>0</v>
      </c>
      <c r="BV27" s="107">
        <f>BI27*(1+Assumptions!$G$73)</f>
        <v>0</v>
      </c>
      <c r="BW27" s="107">
        <f>BJ27*(1+Assumptions!$G$73)</f>
        <v>0</v>
      </c>
      <c r="BX27" s="288">
        <f t="shared" si="8"/>
        <v>0</v>
      </c>
      <c r="BY27" s="102">
        <f t="shared" si="10"/>
        <v>0</v>
      </c>
    </row>
    <row r="28" spans="1:77" ht="14.5">
      <c r="A28" s="92"/>
      <c r="B28" s="105"/>
      <c r="C28" s="105"/>
      <c r="D28" s="105"/>
      <c r="E28" s="105"/>
      <c r="F28" s="105"/>
      <c r="G28" s="255"/>
      <c r="H28" s="255"/>
      <c r="I28" s="275">
        <f>SUM(I15:I27)</f>
        <v>1</v>
      </c>
      <c r="J28" s="255"/>
      <c r="K28" s="92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288"/>
      <c r="Y28" s="300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290"/>
      <c r="AL28" s="300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290"/>
      <c r="AY28" s="300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290"/>
      <c r="BL28" s="300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2"/>
      <c r="BY28" s="102"/>
    </row>
    <row r="29" spans="1:77" ht="14.5">
      <c r="A29" s="92"/>
      <c r="B29" s="105"/>
      <c r="C29" s="105"/>
      <c r="D29" s="105"/>
      <c r="E29" s="105"/>
      <c r="F29" s="105"/>
      <c r="G29" s="255"/>
      <c r="H29" s="255"/>
      <c r="I29" s="255"/>
      <c r="J29" s="255"/>
      <c r="K29" s="92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288"/>
      <c r="Y29" s="300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290"/>
      <c r="AL29" s="300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290"/>
      <c r="AY29" s="300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290"/>
      <c r="BL29" s="300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2"/>
      <c r="BY29" s="102"/>
    </row>
    <row r="30" spans="1:77" ht="14.5">
      <c r="A30" s="92"/>
      <c r="B30" s="105"/>
      <c r="C30" s="105"/>
      <c r="D30" s="105"/>
      <c r="E30" s="105"/>
      <c r="F30" s="105"/>
      <c r="G30" s="274" t="s">
        <v>515</v>
      </c>
      <c r="H30" s="274"/>
      <c r="I30" s="113"/>
      <c r="J30" s="255"/>
      <c r="K30" s="92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288"/>
      <c r="Y30" s="300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290"/>
      <c r="AL30" s="300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290"/>
      <c r="AY30" s="300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290"/>
      <c r="BL30" s="300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2"/>
      <c r="BY30" s="102"/>
    </row>
    <row r="31" spans="1:77" ht="14.5">
      <c r="A31" s="92"/>
      <c r="B31" s="276">
        <v>12.99</v>
      </c>
      <c r="C31" s="272">
        <f>B31*(1+Assumptions!D$74)</f>
        <v>12.99</v>
      </c>
      <c r="D31" s="272">
        <f>C31*(1+Assumptions!E$74)</f>
        <v>13.509600000000001</v>
      </c>
      <c r="E31" s="272">
        <f>D31*(1+Assumptions!F$74)</f>
        <v>13.509600000000001</v>
      </c>
      <c r="F31" s="272">
        <f>E31*(1+Assumptions!G$74)</f>
        <v>14.049984000000002</v>
      </c>
      <c r="G31" s="108"/>
      <c r="H31" s="280">
        <f>B31/4/16*128*31</f>
        <v>805.38</v>
      </c>
      <c r="I31" s="278">
        <v>0.2</v>
      </c>
      <c r="J31" s="92" t="str">
        <f t="shared" ref="J31:J43" si="11">J15</f>
        <v>Core 1 - Lager</v>
      </c>
      <c r="K31" s="92"/>
      <c r="L31" s="107">
        <f>'Year 1 Traffic'!B$26*'Beer Revenue'!$I31</f>
        <v>17.005714285714287</v>
      </c>
      <c r="M31" s="107">
        <f>'Year 1 Traffic'!C$26*'Beer Revenue'!$I31</f>
        <v>18.079999999999998</v>
      </c>
      <c r="N31" s="107">
        <f>'Year 1 Traffic'!D$26*'Beer Revenue'!$I31</f>
        <v>25.508571428571432</v>
      </c>
      <c r="O31" s="107">
        <f>'Year 1 Traffic'!E$26*'Beer Revenue'!$I31</f>
        <v>30.171428571428574</v>
      </c>
      <c r="P31" s="107">
        <f>'Year 1 Traffic'!F$26*'Beer Revenue'!$I31</f>
        <v>34.011428571428574</v>
      </c>
      <c r="Q31" s="107">
        <f>'Year 1 Traffic'!G$26*'Beer Revenue'!$I31</f>
        <v>30.171428571428574</v>
      </c>
      <c r="R31" s="107">
        <f>'Year 1 Traffic'!H$26*'Beer Revenue'!$I31</f>
        <v>28.342857142857145</v>
      </c>
      <c r="S31" s="107">
        <f>'Year 1 Traffic'!I$26*'Beer Revenue'!$I31</f>
        <v>35.428571428571438</v>
      </c>
      <c r="T31" s="107">
        <f>'Year 1 Traffic'!J$26*'Beer Revenue'!$I31</f>
        <v>34.285714285714285</v>
      </c>
      <c r="U31" s="107">
        <f>'Year 1 Traffic'!K$26*'Beer Revenue'!$I31</f>
        <v>34.011428571428574</v>
      </c>
      <c r="V31" s="107">
        <f>'Year 1 Traffic'!L$26*'Beer Revenue'!$I31</f>
        <v>24.685714285714287</v>
      </c>
      <c r="W31" s="107">
        <f>'Year 1 Traffic'!M$26*'Beer Revenue'!$I31</f>
        <v>22.674285714285716</v>
      </c>
      <c r="X31" s="288">
        <f t="shared" si="4"/>
        <v>334.37714285714293</v>
      </c>
      <c r="Y31" s="300">
        <f>L31*(1+Assumptions!$D$73)</f>
        <v>19.556571428571427</v>
      </c>
      <c r="Z31" s="107">
        <f>M31*(1+Assumptions!$D$73)</f>
        <v>20.791999999999998</v>
      </c>
      <c r="AA31" s="107">
        <f>N31*(1+Assumptions!$D$73)</f>
        <v>29.334857142857146</v>
      </c>
      <c r="AB31" s="107">
        <f>O31*(1+Assumptions!$D$73)</f>
        <v>34.697142857142858</v>
      </c>
      <c r="AC31" s="107">
        <f>P31*(1+Assumptions!$D$73)</f>
        <v>39.113142857142854</v>
      </c>
      <c r="AD31" s="107">
        <f>Q31*(1+Assumptions!$D$73)</f>
        <v>34.697142857142858</v>
      </c>
      <c r="AE31" s="107">
        <f>R31*(1+Assumptions!$D$73)</f>
        <v>32.594285714285718</v>
      </c>
      <c r="AF31" s="107">
        <f>S31*(1+Assumptions!$D$73)</f>
        <v>40.742857142857147</v>
      </c>
      <c r="AG31" s="107">
        <f>T31*(1+Assumptions!$D$73)</f>
        <v>39.428571428571423</v>
      </c>
      <c r="AH31" s="107">
        <f>U31*(1+Assumptions!$D$73)</f>
        <v>39.113142857142854</v>
      </c>
      <c r="AI31" s="107">
        <f>V31*(1+Assumptions!$D$73)</f>
        <v>28.388571428571428</v>
      </c>
      <c r="AJ31" s="107">
        <f>W31*(1+Assumptions!$D$73)</f>
        <v>26.075428571428571</v>
      </c>
      <c r="AK31" s="288">
        <f t="shared" ref="AK31:AK40" si="12">SUM(Y31:AJ31)</f>
        <v>384.53371428571432</v>
      </c>
      <c r="AL31" s="300">
        <f>Y31*(1+Assumptions!$E$73)</f>
        <v>21.512228571428572</v>
      </c>
      <c r="AM31" s="107">
        <f>Z31*(1+Assumptions!$E$73)</f>
        <v>22.871199999999998</v>
      </c>
      <c r="AN31" s="107">
        <f>AA31*(1+Assumptions!$E$73)</f>
        <v>32.268342857142862</v>
      </c>
      <c r="AO31" s="107">
        <f>AB31*(1+Assumptions!$E$73)</f>
        <v>38.166857142857147</v>
      </c>
      <c r="AP31" s="107">
        <f>AC31*(1+Assumptions!$E$73)</f>
        <v>43.024457142857145</v>
      </c>
      <c r="AQ31" s="107">
        <f>AD31*(1+Assumptions!$E$73)</f>
        <v>38.166857142857147</v>
      </c>
      <c r="AR31" s="107">
        <f>AE31*(1+Assumptions!$E$73)</f>
        <v>35.85371428571429</v>
      </c>
      <c r="AS31" s="107">
        <f>AF31*(1+Assumptions!$E$73)</f>
        <v>44.817142857142869</v>
      </c>
      <c r="AT31" s="107">
        <f>AG31*(1+Assumptions!$E$73)</f>
        <v>43.371428571428567</v>
      </c>
      <c r="AU31" s="107">
        <f>AH31*(1+Assumptions!$E$73)</f>
        <v>43.024457142857145</v>
      </c>
      <c r="AV31" s="107">
        <f>AI31*(1+Assumptions!$E$73)</f>
        <v>31.227428571428572</v>
      </c>
      <c r="AW31" s="107">
        <f>AJ31*(1+Assumptions!$E$73)</f>
        <v>28.682971428571431</v>
      </c>
      <c r="AX31" s="288">
        <f t="shared" ref="AX31:AX43" si="13">SUM(AL31:AW31)</f>
        <v>422.98708571428574</v>
      </c>
      <c r="AY31" s="300">
        <f>AL31*(1+Assumptions!$F$73)</f>
        <v>22.587840000000003</v>
      </c>
      <c r="AZ31" s="107">
        <f>AM31*(1+Assumptions!$F$73)</f>
        <v>24.014759999999999</v>
      </c>
      <c r="BA31" s="107">
        <f>AN31*(1+Assumptions!$F$73)</f>
        <v>33.881760000000007</v>
      </c>
      <c r="BB31" s="107">
        <f>AO31*(1+Assumptions!$F$73)</f>
        <v>40.075200000000002</v>
      </c>
      <c r="BC31" s="107">
        <f>AP31*(1+Assumptions!$F$73)</f>
        <v>45.175680000000007</v>
      </c>
      <c r="BD31" s="107">
        <f>AQ31*(1+Assumptions!$F$73)</f>
        <v>40.075200000000002</v>
      </c>
      <c r="BE31" s="107">
        <f>AR31*(1+Assumptions!$F$73)</f>
        <v>37.646400000000007</v>
      </c>
      <c r="BF31" s="107">
        <f>AS31*(1+Assumptions!$F$73)</f>
        <v>47.058000000000014</v>
      </c>
      <c r="BG31" s="107">
        <f>AT31*(1+Assumptions!$F$73)</f>
        <v>45.54</v>
      </c>
      <c r="BH31" s="107">
        <f>AU31*(1+Assumptions!$F$73)</f>
        <v>45.175680000000007</v>
      </c>
      <c r="BI31" s="107">
        <f>AV31*(1+Assumptions!$F$73)</f>
        <v>32.788800000000002</v>
      </c>
      <c r="BJ31" s="107">
        <f>AW31*(1+Assumptions!$F$73)</f>
        <v>30.117120000000003</v>
      </c>
      <c r="BK31" s="288">
        <f t="shared" ref="BK31:BK43" si="14">SUM(AY31:BJ31)</f>
        <v>444.13643999999999</v>
      </c>
      <c r="BL31" s="300">
        <f>AY31*(1+Assumptions!$G$73)</f>
        <v>23.717232000000006</v>
      </c>
      <c r="BM31" s="107">
        <f>AZ31*(1+Assumptions!$G$73)</f>
        <v>25.215498</v>
      </c>
      <c r="BN31" s="107">
        <f>BA31*(1+Assumptions!$G$73)</f>
        <v>35.575848000000008</v>
      </c>
      <c r="BO31" s="107">
        <f>BB31*(1+Assumptions!$G$73)</f>
        <v>42.078960000000002</v>
      </c>
      <c r="BP31" s="107">
        <f>BC31*(1+Assumptions!$G$73)</f>
        <v>47.434464000000013</v>
      </c>
      <c r="BQ31" s="107">
        <f>BD31*(1+Assumptions!$G$73)</f>
        <v>42.078960000000002</v>
      </c>
      <c r="BR31" s="107">
        <f>BE31*(1+Assumptions!$G$73)</f>
        <v>39.528720000000007</v>
      </c>
      <c r="BS31" s="107">
        <f>BF31*(1+Assumptions!$G$73)</f>
        <v>49.410900000000019</v>
      </c>
      <c r="BT31" s="107">
        <f>BG31*(1+Assumptions!$G$73)</f>
        <v>47.817</v>
      </c>
      <c r="BU31" s="107">
        <f>BH31*(1+Assumptions!$G$73)</f>
        <v>47.434464000000013</v>
      </c>
      <c r="BV31" s="107">
        <f>BI31*(1+Assumptions!$G$73)</f>
        <v>34.428240000000002</v>
      </c>
      <c r="BW31" s="107">
        <f>BJ31*(1+Assumptions!$G$73)</f>
        <v>31.622976000000005</v>
      </c>
      <c r="BX31" s="288">
        <f t="shared" ref="BX31:BX43" si="15">SUM(BL31:BW31)</f>
        <v>466.3432620000001</v>
      </c>
      <c r="BY31" s="102">
        <f>X31+AK31+AX31+BK31+BX31</f>
        <v>2052.377644857143</v>
      </c>
    </row>
    <row r="32" spans="1:77" ht="14.5">
      <c r="A32" s="92"/>
      <c r="B32" s="276">
        <v>16.989999999999998</v>
      </c>
      <c r="C32" s="272">
        <f>B32*(1+Assumptions!D$74)</f>
        <v>16.989999999999998</v>
      </c>
      <c r="D32" s="272">
        <f>C32*(1+Assumptions!E$74)</f>
        <v>17.669599999999999</v>
      </c>
      <c r="E32" s="272">
        <f>D32*(1+Assumptions!F$74)</f>
        <v>17.669599999999999</v>
      </c>
      <c r="F32" s="272">
        <f>E32*(1+Assumptions!G$74)</f>
        <v>18.376383999999998</v>
      </c>
      <c r="G32" s="108"/>
      <c r="H32" s="280">
        <f t="shared" ref="H32:H40" si="16">B32/4/16*128*31</f>
        <v>1053.3799999999999</v>
      </c>
      <c r="I32" s="278">
        <v>0.3</v>
      </c>
      <c r="J32" s="92" t="str">
        <f t="shared" si="11"/>
        <v>Core 2 - Hoppy Pale</v>
      </c>
      <c r="K32" s="92"/>
      <c r="L32" s="107">
        <f>'Year 1 Traffic'!B$26*'Beer Revenue'!$I32</f>
        <v>25.508571428571425</v>
      </c>
      <c r="M32" s="107">
        <f>'Year 1 Traffic'!C$26*'Beer Revenue'!$I32</f>
        <v>27.119999999999997</v>
      </c>
      <c r="N32" s="107">
        <f>'Year 1 Traffic'!D$26*'Beer Revenue'!$I32</f>
        <v>38.262857142857143</v>
      </c>
      <c r="O32" s="107">
        <f>'Year 1 Traffic'!E$26*'Beer Revenue'!$I32</f>
        <v>45.25714285714286</v>
      </c>
      <c r="P32" s="107">
        <f>'Year 1 Traffic'!F$26*'Beer Revenue'!$I32</f>
        <v>51.017142857142851</v>
      </c>
      <c r="Q32" s="107">
        <f>'Year 1 Traffic'!G$26*'Beer Revenue'!$I32</f>
        <v>45.25714285714286</v>
      </c>
      <c r="R32" s="107">
        <f>'Year 1 Traffic'!H$26*'Beer Revenue'!$I32</f>
        <v>42.514285714285712</v>
      </c>
      <c r="S32" s="107">
        <f>'Year 1 Traffic'!I$26*'Beer Revenue'!$I32</f>
        <v>53.142857142857146</v>
      </c>
      <c r="T32" s="107">
        <f>'Year 1 Traffic'!J$26*'Beer Revenue'!$I32</f>
        <v>51.428571428571423</v>
      </c>
      <c r="U32" s="107">
        <f>'Year 1 Traffic'!K$26*'Beer Revenue'!$I32</f>
        <v>51.017142857142851</v>
      </c>
      <c r="V32" s="107">
        <f>'Year 1 Traffic'!L$26*'Beer Revenue'!$I32</f>
        <v>37.028571428571425</v>
      </c>
      <c r="W32" s="107">
        <f>'Year 1 Traffic'!M$26*'Beer Revenue'!$I32</f>
        <v>34.011428571428574</v>
      </c>
      <c r="X32" s="288">
        <f t="shared" si="4"/>
        <v>501.56571428571431</v>
      </c>
      <c r="Y32" s="300">
        <f>L32*(1+Assumptions!$D$73)</f>
        <v>29.334857142857135</v>
      </c>
      <c r="Z32" s="107">
        <f>M32*(1+Assumptions!$D$73)</f>
        <v>31.187999999999995</v>
      </c>
      <c r="AA32" s="107">
        <f>N32*(1+Assumptions!$D$73)</f>
        <v>44.002285714285712</v>
      </c>
      <c r="AB32" s="107">
        <f>O32*(1+Assumptions!$D$73)</f>
        <v>52.045714285714283</v>
      </c>
      <c r="AC32" s="107">
        <f>P32*(1+Assumptions!$D$73)</f>
        <v>58.669714285714271</v>
      </c>
      <c r="AD32" s="107">
        <f>Q32*(1+Assumptions!$D$73)</f>
        <v>52.045714285714283</v>
      </c>
      <c r="AE32" s="107">
        <f>R32*(1+Assumptions!$D$73)</f>
        <v>48.891428571428563</v>
      </c>
      <c r="AF32" s="107">
        <f>S32*(1+Assumptions!$D$73)</f>
        <v>61.114285714285714</v>
      </c>
      <c r="AG32" s="107">
        <f>T32*(1+Assumptions!$D$73)</f>
        <v>59.142857142857132</v>
      </c>
      <c r="AH32" s="107">
        <f>U32*(1+Assumptions!$D$73)</f>
        <v>58.669714285714271</v>
      </c>
      <c r="AI32" s="107">
        <f>V32*(1+Assumptions!$D$73)</f>
        <v>42.582857142857137</v>
      </c>
      <c r="AJ32" s="107">
        <f>W32*(1+Assumptions!$D$73)</f>
        <v>39.113142857142854</v>
      </c>
      <c r="AK32" s="288">
        <f t="shared" si="12"/>
        <v>576.80057142857129</v>
      </c>
      <c r="AL32" s="300">
        <f>Y32*(1+Assumptions!$E$73)</f>
        <v>32.268342857142855</v>
      </c>
      <c r="AM32" s="107">
        <f>Z32*(1+Assumptions!$E$73)</f>
        <v>34.306799999999996</v>
      </c>
      <c r="AN32" s="107">
        <f>AA32*(1+Assumptions!$E$73)</f>
        <v>48.40251428571429</v>
      </c>
      <c r="AO32" s="107">
        <f>AB32*(1+Assumptions!$E$73)</f>
        <v>57.250285714285717</v>
      </c>
      <c r="AP32" s="107">
        <f>AC32*(1+Assumptions!$E$73)</f>
        <v>64.53668571428571</v>
      </c>
      <c r="AQ32" s="107">
        <f>AD32*(1+Assumptions!$E$73)</f>
        <v>57.250285714285717</v>
      </c>
      <c r="AR32" s="107">
        <f>AE32*(1+Assumptions!$E$73)</f>
        <v>53.78057142857142</v>
      </c>
      <c r="AS32" s="107">
        <f>AF32*(1+Assumptions!$E$73)</f>
        <v>67.22571428571429</v>
      </c>
      <c r="AT32" s="107">
        <f>AG32*(1+Assumptions!$E$73)</f>
        <v>65.05714285714285</v>
      </c>
      <c r="AU32" s="107">
        <f>AH32*(1+Assumptions!$E$73)</f>
        <v>64.53668571428571</v>
      </c>
      <c r="AV32" s="107">
        <f>AI32*(1+Assumptions!$E$73)</f>
        <v>46.841142857142856</v>
      </c>
      <c r="AW32" s="107">
        <f>AJ32*(1+Assumptions!$E$73)</f>
        <v>43.024457142857145</v>
      </c>
      <c r="AX32" s="288">
        <f t="shared" si="13"/>
        <v>634.4806285714285</v>
      </c>
      <c r="AY32" s="300">
        <f>AL32*(1+Assumptions!$F$73)</f>
        <v>33.88176</v>
      </c>
      <c r="AZ32" s="107">
        <f>AM32*(1+Assumptions!$F$73)</f>
        <v>36.02214</v>
      </c>
      <c r="BA32" s="107">
        <f>AN32*(1+Assumptions!$F$73)</f>
        <v>50.822640000000007</v>
      </c>
      <c r="BB32" s="107">
        <f>AO32*(1+Assumptions!$F$73)</f>
        <v>60.112800000000007</v>
      </c>
      <c r="BC32" s="107">
        <f>AP32*(1+Assumptions!$F$73)</f>
        <v>67.76352</v>
      </c>
      <c r="BD32" s="107">
        <f>AQ32*(1+Assumptions!$F$73)</f>
        <v>60.112800000000007</v>
      </c>
      <c r="BE32" s="107">
        <f>AR32*(1+Assumptions!$F$73)</f>
        <v>56.469599999999993</v>
      </c>
      <c r="BF32" s="107">
        <f>AS32*(1+Assumptions!$F$73)</f>
        <v>70.587000000000003</v>
      </c>
      <c r="BG32" s="107">
        <f>AT32*(1+Assumptions!$F$73)</f>
        <v>68.31</v>
      </c>
      <c r="BH32" s="107">
        <f>AU32*(1+Assumptions!$F$73)</f>
        <v>67.76352</v>
      </c>
      <c r="BI32" s="107">
        <f>AV32*(1+Assumptions!$F$73)</f>
        <v>49.183199999999999</v>
      </c>
      <c r="BJ32" s="107">
        <f>AW32*(1+Assumptions!$F$73)</f>
        <v>45.175680000000007</v>
      </c>
      <c r="BK32" s="288">
        <f t="shared" si="14"/>
        <v>666.2046600000001</v>
      </c>
      <c r="BL32" s="300">
        <f>AY32*(1+Assumptions!$G$73)</f>
        <v>35.575848000000001</v>
      </c>
      <c r="BM32" s="107">
        <f>AZ32*(1+Assumptions!$G$73)</f>
        <v>37.823247000000002</v>
      </c>
      <c r="BN32" s="107">
        <f>BA32*(1+Assumptions!$G$73)</f>
        <v>53.363772000000012</v>
      </c>
      <c r="BO32" s="107">
        <f>BB32*(1+Assumptions!$G$73)</f>
        <v>63.118440000000007</v>
      </c>
      <c r="BP32" s="107">
        <f>BC32*(1+Assumptions!$G$73)</f>
        <v>71.151696000000001</v>
      </c>
      <c r="BQ32" s="107">
        <f>BD32*(1+Assumptions!$G$73)</f>
        <v>63.118440000000007</v>
      </c>
      <c r="BR32" s="107">
        <f>BE32*(1+Assumptions!$G$73)</f>
        <v>59.293079999999996</v>
      </c>
      <c r="BS32" s="107">
        <f>BF32*(1+Assumptions!$G$73)</f>
        <v>74.116350000000011</v>
      </c>
      <c r="BT32" s="107">
        <f>BG32*(1+Assumptions!$G$73)</f>
        <v>71.725500000000011</v>
      </c>
      <c r="BU32" s="107">
        <f>BH32*(1+Assumptions!$G$73)</f>
        <v>71.151696000000001</v>
      </c>
      <c r="BV32" s="107">
        <f>BI32*(1+Assumptions!$G$73)</f>
        <v>51.642360000000004</v>
      </c>
      <c r="BW32" s="107">
        <f>BJ32*(1+Assumptions!$G$73)</f>
        <v>47.434464000000013</v>
      </c>
      <c r="BX32" s="288">
        <f t="shared" si="15"/>
        <v>699.51489300000014</v>
      </c>
      <c r="BY32" s="102">
        <f t="shared" ref="BY32:BY40" si="17">X32+AK32+AX32+BK32+BX32</f>
        <v>3078.5664672857142</v>
      </c>
    </row>
    <row r="33" spans="1:77" ht="14.5">
      <c r="A33" s="92"/>
      <c r="B33" s="276">
        <v>12.99</v>
      </c>
      <c r="C33" s="272">
        <f>B33*(1+Assumptions!D$74)</f>
        <v>12.99</v>
      </c>
      <c r="D33" s="272">
        <f>C33*(1+Assumptions!E$74)</f>
        <v>13.509600000000001</v>
      </c>
      <c r="E33" s="272">
        <f>D33*(1+Assumptions!F$74)</f>
        <v>13.509600000000001</v>
      </c>
      <c r="F33" s="272">
        <f>E33*(1+Assumptions!G$74)</f>
        <v>14.049984000000002</v>
      </c>
      <c r="G33" s="108"/>
      <c r="H33" s="280">
        <f t="shared" si="16"/>
        <v>805.38</v>
      </c>
      <c r="I33" s="278">
        <v>0.1</v>
      </c>
      <c r="J33" s="92" t="str">
        <f t="shared" si="11"/>
        <v>Core 3 - Red Ale</v>
      </c>
      <c r="K33" s="92"/>
      <c r="L33" s="107">
        <f>'Year 1 Traffic'!B$26*'Beer Revenue'!$I33</f>
        <v>8.5028571428571436</v>
      </c>
      <c r="M33" s="107">
        <f>'Year 1 Traffic'!C$26*'Beer Revenue'!$I33</f>
        <v>9.0399999999999991</v>
      </c>
      <c r="N33" s="107">
        <f>'Year 1 Traffic'!D$26*'Beer Revenue'!$I33</f>
        <v>12.754285714285716</v>
      </c>
      <c r="O33" s="107">
        <f>'Year 1 Traffic'!E$26*'Beer Revenue'!$I33</f>
        <v>15.085714285714287</v>
      </c>
      <c r="P33" s="107">
        <f>'Year 1 Traffic'!F$26*'Beer Revenue'!$I33</f>
        <v>17.005714285714287</v>
      </c>
      <c r="Q33" s="107">
        <f>'Year 1 Traffic'!G$26*'Beer Revenue'!$I33</f>
        <v>15.085714285714287</v>
      </c>
      <c r="R33" s="107">
        <f>'Year 1 Traffic'!H$26*'Beer Revenue'!$I33</f>
        <v>14.171428571428573</v>
      </c>
      <c r="S33" s="107">
        <f>'Year 1 Traffic'!I$26*'Beer Revenue'!$I33</f>
        <v>17.714285714285719</v>
      </c>
      <c r="T33" s="107">
        <f>'Year 1 Traffic'!J$26*'Beer Revenue'!$I33</f>
        <v>17.142857142857142</v>
      </c>
      <c r="U33" s="107">
        <f>'Year 1 Traffic'!K$26*'Beer Revenue'!$I33</f>
        <v>17.005714285714287</v>
      </c>
      <c r="V33" s="107">
        <f>'Year 1 Traffic'!L$26*'Beer Revenue'!$I33</f>
        <v>12.342857142857143</v>
      </c>
      <c r="W33" s="107">
        <f>'Year 1 Traffic'!M$26*'Beer Revenue'!$I33</f>
        <v>11.337142857142858</v>
      </c>
      <c r="X33" s="288">
        <f t="shared" si="4"/>
        <v>167.18857142857146</v>
      </c>
      <c r="Y33" s="300">
        <f>L33*(1+Assumptions!$D$73)</f>
        <v>9.7782857142857136</v>
      </c>
      <c r="Z33" s="107">
        <f>M33*(1+Assumptions!$D$73)</f>
        <v>10.395999999999999</v>
      </c>
      <c r="AA33" s="107">
        <f>N33*(1+Assumptions!$D$73)</f>
        <v>14.667428571428573</v>
      </c>
      <c r="AB33" s="107">
        <f>O33*(1+Assumptions!$D$73)</f>
        <v>17.348571428571429</v>
      </c>
      <c r="AC33" s="107">
        <f>P33*(1+Assumptions!$D$73)</f>
        <v>19.556571428571427</v>
      </c>
      <c r="AD33" s="107">
        <f>Q33*(1+Assumptions!$D$73)</f>
        <v>17.348571428571429</v>
      </c>
      <c r="AE33" s="107">
        <f>R33*(1+Assumptions!$D$73)</f>
        <v>16.297142857142859</v>
      </c>
      <c r="AF33" s="107">
        <f>S33*(1+Assumptions!$D$73)</f>
        <v>20.371428571428574</v>
      </c>
      <c r="AG33" s="107">
        <f>T33*(1+Assumptions!$D$73)</f>
        <v>19.714285714285712</v>
      </c>
      <c r="AH33" s="107">
        <f>U33*(1+Assumptions!$D$73)</f>
        <v>19.556571428571427</v>
      </c>
      <c r="AI33" s="107">
        <f>V33*(1+Assumptions!$D$73)</f>
        <v>14.194285714285714</v>
      </c>
      <c r="AJ33" s="107">
        <f>W33*(1+Assumptions!$D$73)</f>
        <v>13.037714285714285</v>
      </c>
      <c r="AK33" s="288">
        <f t="shared" si="12"/>
        <v>192.26685714285716</v>
      </c>
      <c r="AL33" s="300">
        <f>Y33*(1+Assumptions!$E$73)</f>
        <v>10.756114285714286</v>
      </c>
      <c r="AM33" s="107">
        <f>Z33*(1+Assumptions!$E$73)</f>
        <v>11.435599999999999</v>
      </c>
      <c r="AN33" s="107">
        <f>AA33*(1+Assumptions!$E$73)</f>
        <v>16.134171428571431</v>
      </c>
      <c r="AO33" s="107">
        <f>AB33*(1+Assumptions!$E$73)</f>
        <v>19.083428571428573</v>
      </c>
      <c r="AP33" s="107">
        <f>AC33*(1+Assumptions!$E$73)</f>
        <v>21.512228571428572</v>
      </c>
      <c r="AQ33" s="107">
        <f>AD33*(1+Assumptions!$E$73)</f>
        <v>19.083428571428573</v>
      </c>
      <c r="AR33" s="107">
        <f>AE33*(1+Assumptions!$E$73)</f>
        <v>17.926857142857145</v>
      </c>
      <c r="AS33" s="107">
        <f>AF33*(1+Assumptions!$E$73)</f>
        <v>22.408571428571435</v>
      </c>
      <c r="AT33" s="107">
        <f>AG33*(1+Assumptions!$E$73)</f>
        <v>21.685714285714283</v>
      </c>
      <c r="AU33" s="107">
        <f>AH33*(1+Assumptions!$E$73)</f>
        <v>21.512228571428572</v>
      </c>
      <c r="AV33" s="107">
        <f>AI33*(1+Assumptions!$E$73)</f>
        <v>15.613714285714286</v>
      </c>
      <c r="AW33" s="107">
        <f>AJ33*(1+Assumptions!$E$73)</f>
        <v>14.341485714285716</v>
      </c>
      <c r="AX33" s="288">
        <f t="shared" si="13"/>
        <v>211.49354285714287</v>
      </c>
      <c r="AY33" s="300">
        <f>AL33*(1+Assumptions!$F$73)</f>
        <v>11.293920000000002</v>
      </c>
      <c r="AZ33" s="107">
        <f>AM33*(1+Assumptions!$F$73)</f>
        <v>12.007379999999999</v>
      </c>
      <c r="BA33" s="107">
        <f>AN33*(1+Assumptions!$F$73)</f>
        <v>16.940880000000003</v>
      </c>
      <c r="BB33" s="107">
        <f>AO33*(1+Assumptions!$F$73)</f>
        <v>20.037600000000001</v>
      </c>
      <c r="BC33" s="107">
        <f>AP33*(1+Assumptions!$F$73)</f>
        <v>22.587840000000003</v>
      </c>
      <c r="BD33" s="107">
        <f>AQ33*(1+Assumptions!$F$73)</f>
        <v>20.037600000000001</v>
      </c>
      <c r="BE33" s="107">
        <f>AR33*(1+Assumptions!$F$73)</f>
        <v>18.823200000000003</v>
      </c>
      <c r="BF33" s="107">
        <f>AS33*(1+Assumptions!$F$73)</f>
        <v>23.529000000000007</v>
      </c>
      <c r="BG33" s="107">
        <f>AT33*(1+Assumptions!$F$73)</f>
        <v>22.77</v>
      </c>
      <c r="BH33" s="107">
        <f>AU33*(1+Assumptions!$F$73)</f>
        <v>22.587840000000003</v>
      </c>
      <c r="BI33" s="107">
        <f>AV33*(1+Assumptions!$F$73)</f>
        <v>16.394400000000001</v>
      </c>
      <c r="BJ33" s="107">
        <f>AW33*(1+Assumptions!$F$73)</f>
        <v>15.058560000000002</v>
      </c>
      <c r="BK33" s="288">
        <f t="shared" si="14"/>
        <v>222.06822</v>
      </c>
      <c r="BL33" s="300">
        <f>AY33*(1+Assumptions!$G$73)</f>
        <v>11.858616000000003</v>
      </c>
      <c r="BM33" s="107">
        <f>AZ33*(1+Assumptions!$G$73)</f>
        <v>12.607749</v>
      </c>
      <c r="BN33" s="107">
        <f>BA33*(1+Assumptions!$G$73)</f>
        <v>17.787924000000004</v>
      </c>
      <c r="BO33" s="107">
        <f>BB33*(1+Assumptions!$G$73)</f>
        <v>21.039480000000001</v>
      </c>
      <c r="BP33" s="107">
        <f>BC33*(1+Assumptions!$G$73)</f>
        <v>23.717232000000006</v>
      </c>
      <c r="BQ33" s="107">
        <f>BD33*(1+Assumptions!$G$73)</f>
        <v>21.039480000000001</v>
      </c>
      <c r="BR33" s="107">
        <f>BE33*(1+Assumptions!$G$73)</f>
        <v>19.764360000000003</v>
      </c>
      <c r="BS33" s="107">
        <f>BF33*(1+Assumptions!$G$73)</f>
        <v>24.70545000000001</v>
      </c>
      <c r="BT33" s="107">
        <f>BG33*(1+Assumptions!$G$73)</f>
        <v>23.9085</v>
      </c>
      <c r="BU33" s="107">
        <f>BH33*(1+Assumptions!$G$73)</f>
        <v>23.717232000000006</v>
      </c>
      <c r="BV33" s="107">
        <f>BI33*(1+Assumptions!$G$73)</f>
        <v>17.214120000000001</v>
      </c>
      <c r="BW33" s="107">
        <f>BJ33*(1+Assumptions!$G$73)</f>
        <v>15.811488000000002</v>
      </c>
      <c r="BX33" s="288">
        <f t="shared" si="15"/>
        <v>233.17163100000005</v>
      </c>
      <c r="BY33" s="102">
        <f t="shared" si="17"/>
        <v>1026.1888224285715</v>
      </c>
    </row>
    <row r="34" spans="1:77" ht="14.5">
      <c r="A34" s="92"/>
      <c r="B34" s="276">
        <v>16.989999999999998</v>
      </c>
      <c r="C34" s="272">
        <f>B34*(1+Assumptions!D$74)</f>
        <v>16.989999999999998</v>
      </c>
      <c r="D34" s="272">
        <f>C34*(1+Assumptions!E$74)</f>
        <v>17.669599999999999</v>
      </c>
      <c r="E34" s="272">
        <f>D34*(1+Assumptions!F$74)</f>
        <v>17.669599999999999</v>
      </c>
      <c r="F34" s="272">
        <f>E34*(1+Assumptions!G$74)</f>
        <v>18.376383999999998</v>
      </c>
      <c r="G34" s="108"/>
      <c r="H34" s="280">
        <f t="shared" si="16"/>
        <v>1053.3799999999999</v>
      </c>
      <c r="I34" s="278">
        <v>0.1</v>
      </c>
      <c r="J34" s="92" t="str">
        <f t="shared" si="11"/>
        <v>Core 4 - Dark (Porter?)</v>
      </c>
      <c r="K34" s="92"/>
      <c r="L34" s="107">
        <f>'Year 1 Traffic'!B$26*'Beer Revenue'!$I34</f>
        <v>8.5028571428571436</v>
      </c>
      <c r="M34" s="107">
        <f>'Year 1 Traffic'!C$26*'Beer Revenue'!$I34</f>
        <v>9.0399999999999991</v>
      </c>
      <c r="N34" s="107">
        <f>'Year 1 Traffic'!D$26*'Beer Revenue'!$I34</f>
        <v>12.754285714285716</v>
      </c>
      <c r="O34" s="107">
        <f>'Year 1 Traffic'!E$26*'Beer Revenue'!$I34</f>
        <v>15.085714285714287</v>
      </c>
      <c r="P34" s="107">
        <f>'Year 1 Traffic'!F$26*'Beer Revenue'!$I34</f>
        <v>17.005714285714287</v>
      </c>
      <c r="Q34" s="107">
        <f>'Year 1 Traffic'!G$26*'Beer Revenue'!$I34</f>
        <v>15.085714285714287</v>
      </c>
      <c r="R34" s="107">
        <f>'Year 1 Traffic'!H$26*'Beer Revenue'!$I34</f>
        <v>14.171428571428573</v>
      </c>
      <c r="S34" s="107">
        <f>'Year 1 Traffic'!I$26*'Beer Revenue'!$I34</f>
        <v>17.714285714285719</v>
      </c>
      <c r="T34" s="107">
        <f>'Year 1 Traffic'!J$26*'Beer Revenue'!$I34</f>
        <v>17.142857142857142</v>
      </c>
      <c r="U34" s="107">
        <f>'Year 1 Traffic'!K$26*'Beer Revenue'!$I34</f>
        <v>17.005714285714287</v>
      </c>
      <c r="V34" s="107">
        <f>'Year 1 Traffic'!L$26*'Beer Revenue'!$I34</f>
        <v>12.342857142857143</v>
      </c>
      <c r="W34" s="107">
        <f>'Year 1 Traffic'!M$26*'Beer Revenue'!$I34</f>
        <v>11.337142857142858</v>
      </c>
      <c r="X34" s="288">
        <f t="shared" si="4"/>
        <v>167.18857142857146</v>
      </c>
      <c r="Y34" s="300">
        <f>L34*(1+Assumptions!$D$73)</f>
        <v>9.7782857142857136</v>
      </c>
      <c r="Z34" s="107">
        <f>M34*(1+Assumptions!$D$73)</f>
        <v>10.395999999999999</v>
      </c>
      <c r="AA34" s="107">
        <f>N34*(1+Assumptions!$D$73)</f>
        <v>14.667428571428573</v>
      </c>
      <c r="AB34" s="107">
        <f>O34*(1+Assumptions!$D$73)</f>
        <v>17.348571428571429</v>
      </c>
      <c r="AC34" s="107">
        <f>P34*(1+Assumptions!$D$73)</f>
        <v>19.556571428571427</v>
      </c>
      <c r="AD34" s="107">
        <f>Q34*(1+Assumptions!$D$73)</f>
        <v>17.348571428571429</v>
      </c>
      <c r="AE34" s="107">
        <f>R34*(1+Assumptions!$D$73)</f>
        <v>16.297142857142859</v>
      </c>
      <c r="AF34" s="107">
        <f>S34*(1+Assumptions!$D$73)</f>
        <v>20.371428571428574</v>
      </c>
      <c r="AG34" s="107">
        <f>T34*(1+Assumptions!$D$73)</f>
        <v>19.714285714285712</v>
      </c>
      <c r="AH34" s="107">
        <f>U34*(1+Assumptions!$D$73)</f>
        <v>19.556571428571427</v>
      </c>
      <c r="AI34" s="107">
        <f>V34*(1+Assumptions!$D$73)</f>
        <v>14.194285714285714</v>
      </c>
      <c r="AJ34" s="107">
        <f>W34*(1+Assumptions!$D$73)</f>
        <v>13.037714285714285</v>
      </c>
      <c r="AK34" s="288">
        <f t="shared" si="12"/>
        <v>192.26685714285716</v>
      </c>
      <c r="AL34" s="300">
        <f>Y34*(1+Assumptions!$E$73)</f>
        <v>10.756114285714286</v>
      </c>
      <c r="AM34" s="107">
        <f>Z34*(1+Assumptions!$E$73)</f>
        <v>11.435599999999999</v>
      </c>
      <c r="AN34" s="107">
        <f>AA34*(1+Assumptions!$E$73)</f>
        <v>16.134171428571431</v>
      </c>
      <c r="AO34" s="107">
        <f>AB34*(1+Assumptions!$E$73)</f>
        <v>19.083428571428573</v>
      </c>
      <c r="AP34" s="107">
        <f>AC34*(1+Assumptions!$E$73)</f>
        <v>21.512228571428572</v>
      </c>
      <c r="AQ34" s="107">
        <f>AD34*(1+Assumptions!$E$73)</f>
        <v>19.083428571428573</v>
      </c>
      <c r="AR34" s="107">
        <f>AE34*(1+Assumptions!$E$73)</f>
        <v>17.926857142857145</v>
      </c>
      <c r="AS34" s="107">
        <f>AF34*(1+Assumptions!$E$73)</f>
        <v>22.408571428571435</v>
      </c>
      <c r="AT34" s="107">
        <f>AG34*(1+Assumptions!$E$73)</f>
        <v>21.685714285714283</v>
      </c>
      <c r="AU34" s="107">
        <f>AH34*(1+Assumptions!$E$73)</f>
        <v>21.512228571428572</v>
      </c>
      <c r="AV34" s="107">
        <f>AI34*(1+Assumptions!$E$73)</f>
        <v>15.613714285714286</v>
      </c>
      <c r="AW34" s="107">
        <f>AJ34*(1+Assumptions!$E$73)</f>
        <v>14.341485714285716</v>
      </c>
      <c r="AX34" s="288">
        <f t="shared" si="13"/>
        <v>211.49354285714287</v>
      </c>
      <c r="AY34" s="300">
        <f>AL34*(1+Assumptions!$F$73)</f>
        <v>11.293920000000002</v>
      </c>
      <c r="AZ34" s="107">
        <f>AM34*(1+Assumptions!$F$73)</f>
        <v>12.007379999999999</v>
      </c>
      <c r="BA34" s="107">
        <f>AN34*(1+Assumptions!$F$73)</f>
        <v>16.940880000000003</v>
      </c>
      <c r="BB34" s="107">
        <f>AO34*(1+Assumptions!$F$73)</f>
        <v>20.037600000000001</v>
      </c>
      <c r="BC34" s="107">
        <f>AP34*(1+Assumptions!$F$73)</f>
        <v>22.587840000000003</v>
      </c>
      <c r="BD34" s="107">
        <f>AQ34*(1+Assumptions!$F$73)</f>
        <v>20.037600000000001</v>
      </c>
      <c r="BE34" s="107">
        <f>AR34*(1+Assumptions!$F$73)</f>
        <v>18.823200000000003</v>
      </c>
      <c r="BF34" s="107">
        <f>AS34*(1+Assumptions!$F$73)</f>
        <v>23.529000000000007</v>
      </c>
      <c r="BG34" s="107">
        <f>AT34*(1+Assumptions!$F$73)</f>
        <v>22.77</v>
      </c>
      <c r="BH34" s="107">
        <f>AU34*(1+Assumptions!$F$73)</f>
        <v>22.587840000000003</v>
      </c>
      <c r="BI34" s="107">
        <f>AV34*(1+Assumptions!$F$73)</f>
        <v>16.394400000000001</v>
      </c>
      <c r="BJ34" s="107">
        <f>AW34*(1+Assumptions!$F$73)</f>
        <v>15.058560000000002</v>
      </c>
      <c r="BK34" s="288">
        <f t="shared" si="14"/>
        <v>222.06822</v>
      </c>
      <c r="BL34" s="300">
        <f>AY34*(1+Assumptions!$G$73)</f>
        <v>11.858616000000003</v>
      </c>
      <c r="BM34" s="107">
        <f>AZ34*(1+Assumptions!$G$73)</f>
        <v>12.607749</v>
      </c>
      <c r="BN34" s="107">
        <f>BA34*(1+Assumptions!$G$73)</f>
        <v>17.787924000000004</v>
      </c>
      <c r="BO34" s="107">
        <f>BB34*(1+Assumptions!$G$73)</f>
        <v>21.039480000000001</v>
      </c>
      <c r="BP34" s="107">
        <f>BC34*(1+Assumptions!$G$73)</f>
        <v>23.717232000000006</v>
      </c>
      <c r="BQ34" s="107">
        <f>BD34*(1+Assumptions!$G$73)</f>
        <v>21.039480000000001</v>
      </c>
      <c r="BR34" s="107">
        <f>BE34*(1+Assumptions!$G$73)</f>
        <v>19.764360000000003</v>
      </c>
      <c r="BS34" s="107">
        <f>BF34*(1+Assumptions!$G$73)</f>
        <v>24.70545000000001</v>
      </c>
      <c r="BT34" s="107">
        <f>BG34*(1+Assumptions!$G$73)</f>
        <v>23.9085</v>
      </c>
      <c r="BU34" s="107">
        <f>BH34*(1+Assumptions!$G$73)</f>
        <v>23.717232000000006</v>
      </c>
      <c r="BV34" s="107">
        <f>BI34*(1+Assumptions!$G$73)</f>
        <v>17.214120000000001</v>
      </c>
      <c r="BW34" s="107">
        <f>BJ34*(1+Assumptions!$G$73)</f>
        <v>15.811488000000002</v>
      </c>
      <c r="BX34" s="288">
        <f t="shared" si="15"/>
        <v>233.17163100000005</v>
      </c>
      <c r="BY34" s="102">
        <f t="shared" si="17"/>
        <v>1026.1888224285715</v>
      </c>
    </row>
    <row r="35" spans="1:77" ht="14.5">
      <c r="A35" s="92"/>
      <c r="B35" s="276">
        <v>12.99</v>
      </c>
      <c r="C35" s="272">
        <f>B35*(1+Assumptions!D$74)</f>
        <v>12.99</v>
      </c>
      <c r="D35" s="272">
        <f>C35*(1+Assumptions!E$74)</f>
        <v>13.509600000000001</v>
      </c>
      <c r="E35" s="272">
        <f>D35*(1+Assumptions!F$74)</f>
        <v>13.509600000000001</v>
      </c>
      <c r="F35" s="272">
        <f>E35*(1+Assumptions!G$74)</f>
        <v>14.049984000000002</v>
      </c>
      <c r="G35" s="108"/>
      <c r="H35" s="280">
        <f t="shared" si="16"/>
        <v>805.38</v>
      </c>
      <c r="I35" s="278">
        <v>0.05</v>
      </c>
      <c r="J35" s="92" t="str">
        <f t="shared" si="11"/>
        <v>Rotating Sour</v>
      </c>
      <c r="K35" s="92"/>
      <c r="L35" s="107">
        <f>'Year 1 Traffic'!B$26*'Beer Revenue'!$I35</f>
        <v>4.2514285714285718</v>
      </c>
      <c r="M35" s="107">
        <f>'Year 1 Traffic'!C$26*'Beer Revenue'!$I35</f>
        <v>4.5199999999999996</v>
      </c>
      <c r="N35" s="107">
        <f>'Year 1 Traffic'!D$26*'Beer Revenue'!$I35</f>
        <v>6.3771428571428581</v>
      </c>
      <c r="O35" s="107">
        <f>'Year 1 Traffic'!E$26*'Beer Revenue'!$I35</f>
        <v>7.5428571428571436</v>
      </c>
      <c r="P35" s="107">
        <f>'Year 1 Traffic'!F$26*'Beer Revenue'!$I35</f>
        <v>8.5028571428571436</v>
      </c>
      <c r="Q35" s="107">
        <f>'Year 1 Traffic'!G$26*'Beer Revenue'!$I35</f>
        <v>7.5428571428571436</v>
      </c>
      <c r="R35" s="107">
        <f>'Year 1 Traffic'!H$26*'Beer Revenue'!$I35</f>
        <v>7.0857142857142863</v>
      </c>
      <c r="S35" s="107">
        <f>'Year 1 Traffic'!I$26*'Beer Revenue'!$I35</f>
        <v>8.8571428571428594</v>
      </c>
      <c r="T35" s="107">
        <f>'Year 1 Traffic'!J$26*'Beer Revenue'!$I35</f>
        <v>8.5714285714285712</v>
      </c>
      <c r="U35" s="107">
        <f>'Year 1 Traffic'!K$26*'Beer Revenue'!$I35</f>
        <v>8.5028571428571436</v>
      </c>
      <c r="V35" s="107">
        <f>'Year 1 Traffic'!L$26*'Beer Revenue'!$I35</f>
        <v>6.1714285714285717</v>
      </c>
      <c r="W35" s="107">
        <f>'Year 1 Traffic'!M$26*'Beer Revenue'!$I35</f>
        <v>5.668571428571429</v>
      </c>
      <c r="X35" s="288">
        <f t="shared" si="4"/>
        <v>83.594285714285732</v>
      </c>
      <c r="Y35" s="300">
        <f>L35*(1+Assumptions!$D$73)</f>
        <v>4.8891428571428568</v>
      </c>
      <c r="Z35" s="107">
        <f>M35*(1+Assumptions!$D$73)</f>
        <v>5.1979999999999995</v>
      </c>
      <c r="AA35" s="107">
        <f>N35*(1+Assumptions!$D$73)</f>
        <v>7.3337142857142865</v>
      </c>
      <c r="AB35" s="107">
        <f>O35*(1+Assumptions!$D$73)</f>
        <v>8.6742857142857144</v>
      </c>
      <c r="AC35" s="107">
        <f>P35*(1+Assumptions!$D$73)</f>
        <v>9.7782857142857136</v>
      </c>
      <c r="AD35" s="107">
        <f>Q35*(1+Assumptions!$D$73)</f>
        <v>8.6742857142857144</v>
      </c>
      <c r="AE35" s="107">
        <f>R35*(1+Assumptions!$D$73)</f>
        <v>8.1485714285714295</v>
      </c>
      <c r="AF35" s="107">
        <f>S35*(1+Assumptions!$D$73)</f>
        <v>10.185714285714287</v>
      </c>
      <c r="AG35" s="107">
        <f>T35*(1+Assumptions!$D$73)</f>
        <v>9.8571428571428559</v>
      </c>
      <c r="AH35" s="107">
        <f>U35*(1+Assumptions!$D$73)</f>
        <v>9.7782857142857136</v>
      </c>
      <c r="AI35" s="107">
        <f>V35*(1+Assumptions!$D$73)</f>
        <v>7.097142857142857</v>
      </c>
      <c r="AJ35" s="107">
        <f>W35*(1+Assumptions!$D$73)</f>
        <v>6.5188571428571427</v>
      </c>
      <c r="AK35" s="288">
        <f t="shared" si="12"/>
        <v>96.133428571428581</v>
      </c>
      <c r="AL35" s="300">
        <f>Y35*(1+Assumptions!$E$73)</f>
        <v>5.3780571428571431</v>
      </c>
      <c r="AM35" s="107">
        <f>Z35*(1+Assumptions!$E$73)</f>
        <v>5.7177999999999995</v>
      </c>
      <c r="AN35" s="107">
        <f>AA35*(1+Assumptions!$E$73)</f>
        <v>8.0670857142857155</v>
      </c>
      <c r="AO35" s="107">
        <f>AB35*(1+Assumptions!$E$73)</f>
        <v>9.5417142857142867</v>
      </c>
      <c r="AP35" s="107">
        <f>AC35*(1+Assumptions!$E$73)</f>
        <v>10.756114285714286</v>
      </c>
      <c r="AQ35" s="107">
        <f>AD35*(1+Assumptions!$E$73)</f>
        <v>9.5417142857142867</v>
      </c>
      <c r="AR35" s="107">
        <f>AE35*(1+Assumptions!$E$73)</f>
        <v>8.9634285714285724</v>
      </c>
      <c r="AS35" s="107">
        <f>AF35*(1+Assumptions!$E$73)</f>
        <v>11.204285714285717</v>
      </c>
      <c r="AT35" s="107">
        <f>AG35*(1+Assumptions!$E$73)</f>
        <v>10.842857142857142</v>
      </c>
      <c r="AU35" s="107">
        <f>AH35*(1+Assumptions!$E$73)</f>
        <v>10.756114285714286</v>
      </c>
      <c r="AV35" s="107">
        <f>AI35*(1+Assumptions!$E$73)</f>
        <v>7.8068571428571429</v>
      </c>
      <c r="AW35" s="107">
        <f>AJ35*(1+Assumptions!$E$73)</f>
        <v>7.1707428571428578</v>
      </c>
      <c r="AX35" s="288">
        <f t="shared" si="13"/>
        <v>105.74677142857144</v>
      </c>
      <c r="AY35" s="300">
        <f>AL35*(1+Assumptions!$F$73)</f>
        <v>5.6469600000000009</v>
      </c>
      <c r="AZ35" s="107">
        <f>AM35*(1+Assumptions!$F$73)</f>
        <v>6.0036899999999997</v>
      </c>
      <c r="BA35" s="107">
        <f>AN35*(1+Assumptions!$F$73)</f>
        <v>8.4704400000000017</v>
      </c>
      <c r="BB35" s="107">
        <f>AO35*(1+Assumptions!$F$73)</f>
        <v>10.018800000000001</v>
      </c>
      <c r="BC35" s="107">
        <f>AP35*(1+Assumptions!$F$73)</f>
        <v>11.293920000000002</v>
      </c>
      <c r="BD35" s="107">
        <f>AQ35*(1+Assumptions!$F$73)</f>
        <v>10.018800000000001</v>
      </c>
      <c r="BE35" s="107">
        <f>AR35*(1+Assumptions!$F$73)</f>
        <v>9.4116000000000017</v>
      </c>
      <c r="BF35" s="107">
        <f>AS35*(1+Assumptions!$F$73)</f>
        <v>11.764500000000004</v>
      </c>
      <c r="BG35" s="107">
        <f>AT35*(1+Assumptions!$F$73)</f>
        <v>11.385</v>
      </c>
      <c r="BH35" s="107">
        <f>AU35*(1+Assumptions!$F$73)</f>
        <v>11.293920000000002</v>
      </c>
      <c r="BI35" s="107">
        <f>AV35*(1+Assumptions!$F$73)</f>
        <v>8.1972000000000005</v>
      </c>
      <c r="BJ35" s="107">
        <f>AW35*(1+Assumptions!$F$73)</f>
        <v>7.5292800000000009</v>
      </c>
      <c r="BK35" s="288">
        <f t="shared" si="14"/>
        <v>111.03411</v>
      </c>
      <c r="BL35" s="300">
        <f>AY35*(1+Assumptions!$G$73)</f>
        <v>5.9293080000000016</v>
      </c>
      <c r="BM35" s="107">
        <f>AZ35*(1+Assumptions!$G$73)</f>
        <v>6.3038745</v>
      </c>
      <c r="BN35" s="107">
        <f>BA35*(1+Assumptions!$G$73)</f>
        <v>8.8939620000000019</v>
      </c>
      <c r="BO35" s="107">
        <f>BB35*(1+Assumptions!$G$73)</f>
        <v>10.519740000000001</v>
      </c>
      <c r="BP35" s="107">
        <f>BC35*(1+Assumptions!$G$73)</f>
        <v>11.858616000000003</v>
      </c>
      <c r="BQ35" s="107">
        <f>BD35*(1+Assumptions!$G$73)</f>
        <v>10.519740000000001</v>
      </c>
      <c r="BR35" s="107">
        <f>BE35*(1+Assumptions!$G$73)</f>
        <v>9.8821800000000017</v>
      </c>
      <c r="BS35" s="107">
        <f>BF35*(1+Assumptions!$G$73)</f>
        <v>12.352725000000005</v>
      </c>
      <c r="BT35" s="107">
        <f>BG35*(1+Assumptions!$G$73)</f>
        <v>11.95425</v>
      </c>
      <c r="BU35" s="107">
        <f>BH35*(1+Assumptions!$G$73)</f>
        <v>11.858616000000003</v>
      </c>
      <c r="BV35" s="107">
        <f>BI35*(1+Assumptions!$G$73)</f>
        <v>8.6070600000000006</v>
      </c>
      <c r="BW35" s="107">
        <f>BJ35*(1+Assumptions!$G$73)</f>
        <v>7.9057440000000012</v>
      </c>
      <c r="BX35" s="288">
        <f t="shared" si="15"/>
        <v>116.58581550000002</v>
      </c>
      <c r="BY35" s="102">
        <f t="shared" si="17"/>
        <v>513.09441121428574</v>
      </c>
    </row>
    <row r="36" spans="1:77" ht="14.5">
      <c r="A36" s="92"/>
      <c r="B36" s="276">
        <v>16.989999999999998</v>
      </c>
      <c r="C36" s="272">
        <f>B36*(1+Assumptions!D$74)</f>
        <v>16.989999999999998</v>
      </c>
      <c r="D36" s="272">
        <f>C36*(1+Assumptions!E$74)</f>
        <v>17.669599999999999</v>
      </c>
      <c r="E36" s="272">
        <f>D36*(1+Assumptions!F$74)</f>
        <v>17.669599999999999</v>
      </c>
      <c r="F36" s="272">
        <f>E36*(1+Assumptions!G$74)</f>
        <v>18.376383999999998</v>
      </c>
      <c r="G36" s="108"/>
      <c r="H36" s="280">
        <f t="shared" si="16"/>
        <v>1053.3799999999999</v>
      </c>
      <c r="I36" s="278">
        <v>0.05</v>
      </c>
      <c r="J36" s="92" t="str">
        <f t="shared" si="11"/>
        <v>Seasonal #1</v>
      </c>
      <c r="K36" s="92"/>
      <c r="L36" s="107">
        <f>'Year 1 Traffic'!B$26*'Beer Revenue'!$I36</f>
        <v>4.2514285714285718</v>
      </c>
      <c r="M36" s="107">
        <f>'Year 1 Traffic'!C$26*'Beer Revenue'!$I36</f>
        <v>4.5199999999999996</v>
      </c>
      <c r="N36" s="107">
        <f>'Year 1 Traffic'!D$26*'Beer Revenue'!$I36</f>
        <v>6.3771428571428581</v>
      </c>
      <c r="O36" s="107">
        <f>'Year 1 Traffic'!E$26*'Beer Revenue'!$I36</f>
        <v>7.5428571428571436</v>
      </c>
      <c r="P36" s="107">
        <f>'Year 1 Traffic'!F$26*'Beer Revenue'!$I36</f>
        <v>8.5028571428571436</v>
      </c>
      <c r="Q36" s="107">
        <f>'Year 1 Traffic'!G$26*'Beer Revenue'!$I36</f>
        <v>7.5428571428571436</v>
      </c>
      <c r="R36" s="107">
        <f>'Year 1 Traffic'!H$26*'Beer Revenue'!$I36</f>
        <v>7.0857142857142863</v>
      </c>
      <c r="S36" s="107">
        <f>'Year 1 Traffic'!I$26*'Beer Revenue'!$I36</f>
        <v>8.8571428571428594</v>
      </c>
      <c r="T36" s="107">
        <f>'Year 1 Traffic'!J$26*'Beer Revenue'!$I36</f>
        <v>8.5714285714285712</v>
      </c>
      <c r="U36" s="107">
        <f>'Year 1 Traffic'!K$26*'Beer Revenue'!$I36</f>
        <v>8.5028571428571436</v>
      </c>
      <c r="V36" s="107">
        <f>'Year 1 Traffic'!L$26*'Beer Revenue'!$I36</f>
        <v>6.1714285714285717</v>
      </c>
      <c r="W36" s="107">
        <f>'Year 1 Traffic'!M$26*'Beer Revenue'!$I36</f>
        <v>5.668571428571429</v>
      </c>
      <c r="X36" s="288">
        <f t="shared" si="4"/>
        <v>83.594285714285732</v>
      </c>
      <c r="Y36" s="300">
        <f>L36*(1+Assumptions!$D$73)</f>
        <v>4.8891428571428568</v>
      </c>
      <c r="Z36" s="107">
        <f>M36*(1+Assumptions!$D$73)</f>
        <v>5.1979999999999995</v>
      </c>
      <c r="AA36" s="107">
        <f>N36*(1+Assumptions!$D$73)</f>
        <v>7.3337142857142865</v>
      </c>
      <c r="AB36" s="107">
        <f>O36*(1+Assumptions!$D$73)</f>
        <v>8.6742857142857144</v>
      </c>
      <c r="AC36" s="107">
        <f>P36*(1+Assumptions!$D$73)</f>
        <v>9.7782857142857136</v>
      </c>
      <c r="AD36" s="107">
        <f>Q36*(1+Assumptions!$D$73)</f>
        <v>8.6742857142857144</v>
      </c>
      <c r="AE36" s="107">
        <f>R36*(1+Assumptions!$D$73)</f>
        <v>8.1485714285714295</v>
      </c>
      <c r="AF36" s="107">
        <f>S36*(1+Assumptions!$D$73)</f>
        <v>10.185714285714287</v>
      </c>
      <c r="AG36" s="107">
        <f>T36*(1+Assumptions!$D$73)</f>
        <v>9.8571428571428559</v>
      </c>
      <c r="AH36" s="107">
        <f>U36*(1+Assumptions!$D$73)</f>
        <v>9.7782857142857136</v>
      </c>
      <c r="AI36" s="107">
        <f>V36*(1+Assumptions!$D$73)</f>
        <v>7.097142857142857</v>
      </c>
      <c r="AJ36" s="107">
        <f>W36*(1+Assumptions!$D$73)</f>
        <v>6.5188571428571427</v>
      </c>
      <c r="AK36" s="288">
        <f t="shared" si="12"/>
        <v>96.133428571428581</v>
      </c>
      <c r="AL36" s="300">
        <f>Y36*(1+Assumptions!$E$73)</f>
        <v>5.3780571428571431</v>
      </c>
      <c r="AM36" s="107">
        <f>Z36*(1+Assumptions!$E$73)</f>
        <v>5.7177999999999995</v>
      </c>
      <c r="AN36" s="107">
        <f>AA36*(1+Assumptions!$E$73)</f>
        <v>8.0670857142857155</v>
      </c>
      <c r="AO36" s="107">
        <f>AB36*(1+Assumptions!$E$73)</f>
        <v>9.5417142857142867</v>
      </c>
      <c r="AP36" s="107">
        <f>AC36*(1+Assumptions!$E$73)</f>
        <v>10.756114285714286</v>
      </c>
      <c r="AQ36" s="107">
        <f>AD36*(1+Assumptions!$E$73)</f>
        <v>9.5417142857142867</v>
      </c>
      <c r="AR36" s="107">
        <f>AE36*(1+Assumptions!$E$73)</f>
        <v>8.9634285714285724</v>
      </c>
      <c r="AS36" s="107">
        <f>AF36*(1+Assumptions!$E$73)</f>
        <v>11.204285714285717</v>
      </c>
      <c r="AT36" s="107">
        <f>AG36*(1+Assumptions!$E$73)</f>
        <v>10.842857142857142</v>
      </c>
      <c r="AU36" s="107">
        <f>AH36*(1+Assumptions!$E$73)</f>
        <v>10.756114285714286</v>
      </c>
      <c r="AV36" s="107">
        <f>AI36*(1+Assumptions!$E$73)</f>
        <v>7.8068571428571429</v>
      </c>
      <c r="AW36" s="107">
        <f>AJ36*(1+Assumptions!$E$73)</f>
        <v>7.1707428571428578</v>
      </c>
      <c r="AX36" s="288">
        <f t="shared" si="13"/>
        <v>105.74677142857144</v>
      </c>
      <c r="AY36" s="300">
        <f>AL36*(1+Assumptions!$F$73)</f>
        <v>5.6469600000000009</v>
      </c>
      <c r="AZ36" s="107">
        <f>AM36*(1+Assumptions!$F$73)</f>
        <v>6.0036899999999997</v>
      </c>
      <c r="BA36" s="107">
        <f>AN36*(1+Assumptions!$F$73)</f>
        <v>8.4704400000000017</v>
      </c>
      <c r="BB36" s="107">
        <f>AO36*(1+Assumptions!$F$73)</f>
        <v>10.018800000000001</v>
      </c>
      <c r="BC36" s="107">
        <f>AP36*(1+Assumptions!$F$73)</f>
        <v>11.293920000000002</v>
      </c>
      <c r="BD36" s="107">
        <f>AQ36*(1+Assumptions!$F$73)</f>
        <v>10.018800000000001</v>
      </c>
      <c r="BE36" s="107">
        <f>AR36*(1+Assumptions!$F$73)</f>
        <v>9.4116000000000017</v>
      </c>
      <c r="BF36" s="107">
        <f>AS36*(1+Assumptions!$F$73)</f>
        <v>11.764500000000004</v>
      </c>
      <c r="BG36" s="107">
        <f>AT36*(1+Assumptions!$F$73)</f>
        <v>11.385</v>
      </c>
      <c r="BH36" s="107">
        <f>AU36*(1+Assumptions!$F$73)</f>
        <v>11.293920000000002</v>
      </c>
      <c r="BI36" s="107">
        <f>AV36*(1+Assumptions!$F$73)</f>
        <v>8.1972000000000005</v>
      </c>
      <c r="BJ36" s="107">
        <f>AW36*(1+Assumptions!$F$73)</f>
        <v>7.5292800000000009</v>
      </c>
      <c r="BK36" s="288">
        <f t="shared" si="14"/>
        <v>111.03411</v>
      </c>
      <c r="BL36" s="300">
        <f>AY36*(1+Assumptions!$G$73)</f>
        <v>5.9293080000000016</v>
      </c>
      <c r="BM36" s="107">
        <f>AZ36*(1+Assumptions!$G$73)</f>
        <v>6.3038745</v>
      </c>
      <c r="BN36" s="107">
        <f>BA36*(1+Assumptions!$G$73)</f>
        <v>8.8939620000000019</v>
      </c>
      <c r="BO36" s="107">
        <f>BB36*(1+Assumptions!$G$73)</f>
        <v>10.519740000000001</v>
      </c>
      <c r="BP36" s="107">
        <f>BC36*(1+Assumptions!$G$73)</f>
        <v>11.858616000000003</v>
      </c>
      <c r="BQ36" s="107">
        <f>BD36*(1+Assumptions!$G$73)</f>
        <v>10.519740000000001</v>
      </c>
      <c r="BR36" s="107">
        <f>BE36*(1+Assumptions!$G$73)</f>
        <v>9.8821800000000017</v>
      </c>
      <c r="BS36" s="107">
        <f>BF36*(1+Assumptions!$G$73)</f>
        <v>12.352725000000005</v>
      </c>
      <c r="BT36" s="107">
        <f>BG36*(1+Assumptions!$G$73)</f>
        <v>11.95425</v>
      </c>
      <c r="BU36" s="107">
        <f>BH36*(1+Assumptions!$G$73)</f>
        <v>11.858616000000003</v>
      </c>
      <c r="BV36" s="107">
        <f>BI36*(1+Assumptions!$G$73)</f>
        <v>8.6070600000000006</v>
      </c>
      <c r="BW36" s="107">
        <f>BJ36*(1+Assumptions!$G$73)</f>
        <v>7.9057440000000012</v>
      </c>
      <c r="BX36" s="288">
        <f t="shared" si="15"/>
        <v>116.58581550000002</v>
      </c>
      <c r="BY36" s="102">
        <f t="shared" si="17"/>
        <v>513.09441121428574</v>
      </c>
    </row>
    <row r="37" spans="1:77" ht="14.5">
      <c r="A37" s="92"/>
      <c r="B37" s="276">
        <v>16.989999999999998</v>
      </c>
      <c r="C37" s="272">
        <f>B37*(1+Assumptions!D$74)</f>
        <v>16.989999999999998</v>
      </c>
      <c r="D37" s="272">
        <f>C37*(1+Assumptions!E$74)</f>
        <v>17.669599999999999</v>
      </c>
      <c r="E37" s="272">
        <f>D37*(1+Assumptions!F$74)</f>
        <v>17.669599999999999</v>
      </c>
      <c r="F37" s="272">
        <f>E37*(1+Assumptions!G$74)</f>
        <v>18.376383999999998</v>
      </c>
      <c r="G37" s="108"/>
      <c r="H37" s="280">
        <f t="shared" si="16"/>
        <v>1053.3799999999999</v>
      </c>
      <c r="I37" s="278">
        <v>0.05</v>
      </c>
      <c r="J37" s="92" t="str">
        <f t="shared" si="11"/>
        <v>Seasonal #2</v>
      </c>
      <c r="K37" s="92"/>
      <c r="L37" s="107">
        <f>'Year 1 Traffic'!B$26*'Beer Revenue'!$I37</f>
        <v>4.2514285714285718</v>
      </c>
      <c r="M37" s="107">
        <f>'Year 1 Traffic'!C$26*'Beer Revenue'!$I37</f>
        <v>4.5199999999999996</v>
      </c>
      <c r="N37" s="107">
        <f>'Year 1 Traffic'!D$26*'Beer Revenue'!$I37</f>
        <v>6.3771428571428581</v>
      </c>
      <c r="O37" s="107">
        <f>'Year 1 Traffic'!E$26*'Beer Revenue'!$I37</f>
        <v>7.5428571428571436</v>
      </c>
      <c r="P37" s="107">
        <f>'Year 1 Traffic'!F$26*'Beer Revenue'!$I37</f>
        <v>8.5028571428571436</v>
      </c>
      <c r="Q37" s="107">
        <f>'Year 1 Traffic'!G$26*'Beer Revenue'!$I37</f>
        <v>7.5428571428571436</v>
      </c>
      <c r="R37" s="107">
        <f>'Year 1 Traffic'!H$26*'Beer Revenue'!$I37</f>
        <v>7.0857142857142863</v>
      </c>
      <c r="S37" s="107">
        <f>'Year 1 Traffic'!I$26*'Beer Revenue'!$I37</f>
        <v>8.8571428571428594</v>
      </c>
      <c r="T37" s="107">
        <f>'Year 1 Traffic'!J$26*'Beer Revenue'!$I37</f>
        <v>8.5714285714285712</v>
      </c>
      <c r="U37" s="107">
        <f>'Year 1 Traffic'!K$26*'Beer Revenue'!$I37</f>
        <v>8.5028571428571436</v>
      </c>
      <c r="V37" s="107">
        <f>'Year 1 Traffic'!L$26*'Beer Revenue'!$I37</f>
        <v>6.1714285714285717</v>
      </c>
      <c r="W37" s="107">
        <f>'Year 1 Traffic'!M$26*'Beer Revenue'!$I37</f>
        <v>5.668571428571429</v>
      </c>
      <c r="X37" s="288">
        <f t="shared" si="4"/>
        <v>83.594285714285732</v>
      </c>
      <c r="Y37" s="300">
        <f>L37*(1+Assumptions!$D$73)</f>
        <v>4.8891428571428568</v>
      </c>
      <c r="Z37" s="107">
        <f>M37*(1+Assumptions!$D$73)</f>
        <v>5.1979999999999995</v>
      </c>
      <c r="AA37" s="107">
        <f>N37*(1+Assumptions!$D$73)</f>
        <v>7.3337142857142865</v>
      </c>
      <c r="AB37" s="107">
        <f>O37*(1+Assumptions!$D$73)</f>
        <v>8.6742857142857144</v>
      </c>
      <c r="AC37" s="107">
        <f>P37*(1+Assumptions!$D$73)</f>
        <v>9.7782857142857136</v>
      </c>
      <c r="AD37" s="107">
        <f>Q37*(1+Assumptions!$D$73)</f>
        <v>8.6742857142857144</v>
      </c>
      <c r="AE37" s="107">
        <f>R37*(1+Assumptions!$D$73)</f>
        <v>8.1485714285714295</v>
      </c>
      <c r="AF37" s="107">
        <f>S37*(1+Assumptions!$D$73)</f>
        <v>10.185714285714287</v>
      </c>
      <c r="AG37" s="107">
        <f>T37*(1+Assumptions!$D$73)</f>
        <v>9.8571428571428559</v>
      </c>
      <c r="AH37" s="107">
        <f>U37*(1+Assumptions!$D$73)</f>
        <v>9.7782857142857136</v>
      </c>
      <c r="AI37" s="107">
        <f>V37*(1+Assumptions!$D$73)</f>
        <v>7.097142857142857</v>
      </c>
      <c r="AJ37" s="107">
        <f>W37*(1+Assumptions!$D$73)</f>
        <v>6.5188571428571427</v>
      </c>
      <c r="AK37" s="288">
        <f t="shared" si="12"/>
        <v>96.133428571428581</v>
      </c>
      <c r="AL37" s="300">
        <f>Y37*(1+Assumptions!$E$73)</f>
        <v>5.3780571428571431</v>
      </c>
      <c r="AM37" s="107">
        <f>Z37*(1+Assumptions!$E$73)</f>
        <v>5.7177999999999995</v>
      </c>
      <c r="AN37" s="107">
        <f>AA37*(1+Assumptions!$E$73)</f>
        <v>8.0670857142857155</v>
      </c>
      <c r="AO37" s="107">
        <f>AB37*(1+Assumptions!$E$73)</f>
        <v>9.5417142857142867</v>
      </c>
      <c r="AP37" s="107">
        <f>AC37*(1+Assumptions!$E$73)</f>
        <v>10.756114285714286</v>
      </c>
      <c r="AQ37" s="107">
        <f>AD37*(1+Assumptions!$E$73)</f>
        <v>9.5417142857142867</v>
      </c>
      <c r="AR37" s="107">
        <f>AE37*(1+Assumptions!$E$73)</f>
        <v>8.9634285714285724</v>
      </c>
      <c r="AS37" s="107">
        <f>AF37*(1+Assumptions!$E$73)</f>
        <v>11.204285714285717</v>
      </c>
      <c r="AT37" s="107">
        <f>AG37*(1+Assumptions!$E$73)</f>
        <v>10.842857142857142</v>
      </c>
      <c r="AU37" s="107">
        <f>AH37*(1+Assumptions!$E$73)</f>
        <v>10.756114285714286</v>
      </c>
      <c r="AV37" s="107">
        <f>AI37*(1+Assumptions!$E$73)</f>
        <v>7.8068571428571429</v>
      </c>
      <c r="AW37" s="107">
        <f>AJ37*(1+Assumptions!$E$73)</f>
        <v>7.1707428571428578</v>
      </c>
      <c r="AX37" s="288">
        <f t="shared" si="13"/>
        <v>105.74677142857144</v>
      </c>
      <c r="AY37" s="300">
        <f>AL37*(1+Assumptions!$F$73)</f>
        <v>5.6469600000000009</v>
      </c>
      <c r="AZ37" s="107">
        <f>AM37*(1+Assumptions!$F$73)</f>
        <v>6.0036899999999997</v>
      </c>
      <c r="BA37" s="107">
        <f>AN37*(1+Assumptions!$F$73)</f>
        <v>8.4704400000000017</v>
      </c>
      <c r="BB37" s="107">
        <f>AO37*(1+Assumptions!$F$73)</f>
        <v>10.018800000000001</v>
      </c>
      <c r="BC37" s="107">
        <f>AP37*(1+Assumptions!$F$73)</f>
        <v>11.293920000000002</v>
      </c>
      <c r="BD37" s="107">
        <f>AQ37*(1+Assumptions!$F$73)</f>
        <v>10.018800000000001</v>
      </c>
      <c r="BE37" s="107">
        <f>AR37*(1+Assumptions!$F$73)</f>
        <v>9.4116000000000017</v>
      </c>
      <c r="BF37" s="107">
        <f>AS37*(1+Assumptions!$F$73)</f>
        <v>11.764500000000004</v>
      </c>
      <c r="BG37" s="107">
        <f>AT37*(1+Assumptions!$F$73)</f>
        <v>11.385</v>
      </c>
      <c r="BH37" s="107">
        <f>AU37*(1+Assumptions!$F$73)</f>
        <v>11.293920000000002</v>
      </c>
      <c r="BI37" s="107">
        <f>AV37*(1+Assumptions!$F$73)</f>
        <v>8.1972000000000005</v>
      </c>
      <c r="BJ37" s="107">
        <f>AW37*(1+Assumptions!$F$73)</f>
        <v>7.5292800000000009</v>
      </c>
      <c r="BK37" s="288">
        <f t="shared" si="14"/>
        <v>111.03411</v>
      </c>
      <c r="BL37" s="300">
        <f>AY37*(1+Assumptions!$G$73)</f>
        <v>5.9293080000000016</v>
      </c>
      <c r="BM37" s="107">
        <f>AZ37*(1+Assumptions!$G$73)</f>
        <v>6.3038745</v>
      </c>
      <c r="BN37" s="107">
        <f>BA37*(1+Assumptions!$G$73)</f>
        <v>8.8939620000000019</v>
      </c>
      <c r="BO37" s="107">
        <f>BB37*(1+Assumptions!$G$73)</f>
        <v>10.519740000000001</v>
      </c>
      <c r="BP37" s="107">
        <f>BC37*(1+Assumptions!$G$73)</f>
        <v>11.858616000000003</v>
      </c>
      <c r="BQ37" s="107">
        <f>BD37*(1+Assumptions!$G$73)</f>
        <v>10.519740000000001</v>
      </c>
      <c r="BR37" s="107">
        <f>BE37*(1+Assumptions!$G$73)</f>
        <v>9.8821800000000017</v>
      </c>
      <c r="BS37" s="107">
        <f>BF37*(1+Assumptions!$G$73)</f>
        <v>12.352725000000005</v>
      </c>
      <c r="BT37" s="107">
        <f>BG37*(1+Assumptions!$G$73)</f>
        <v>11.95425</v>
      </c>
      <c r="BU37" s="107">
        <f>BH37*(1+Assumptions!$G$73)</f>
        <v>11.858616000000003</v>
      </c>
      <c r="BV37" s="107">
        <f>BI37*(1+Assumptions!$G$73)</f>
        <v>8.6070600000000006</v>
      </c>
      <c r="BW37" s="107">
        <f>BJ37*(1+Assumptions!$G$73)</f>
        <v>7.9057440000000012</v>
      </c>
      <c r="BX37" s="288">
        <f t="shared" si="15"/>
        <v>116.58581550000002</v>
      </c>
      <c r="BY37" s="102">
        <f t="shared" si="17"/>
        <v>513.09441121428574</v>
      </c>
    </row>
    <row r="38" spans="1:77" ht="14.5">
      <c r="A38" s="92"/>
      <c r="B38" s="276">
        <v>16.989999999999998</v>
      </c>
      <c r="C38" s="272">
        <f>B38*(1+Assumptions!D$74)</f>
        <v>16.989999999999998</v>
      </c>
      <c r="D38" s="272">
        <f>C38*(1+Assumptions!E$74)</f>
        <v>17.669599999999999</v>
      </c>
      <c r="E38" s="272">
        <f>D38*(1+Assumptions!F$74)</f>
        <v>17.669599999999999</v>
      </c>
      <c r="F38" s="272">
        <f>E38*(1+Assumptions!G$74)</f>
        <v>18.376383999999998</v>
      </c>
      <c r="G38" s="108"/>
      <c r="H38" s="280">
        <f t="shared" si="16"/>
        <v>1053.3799999999999</v>
      </c>
      <c r="I38" s="278">
        <v>0.1</v>
      </c>
      <c r="J38" s="92" t="str">
        <f t="shared" si="11"/>
        <v>Rotating IPA #1</v>
      </c>
      <c r="K38" s="92"/>
      <c r="L38" s="107">
        <f>'Year 1 Traffic'!B$26*'Beer Revenue'!$I38</f>
        <v>8.5028571428571436</v>
      </c>
      <c r="M38" s="107">
        <f>'Year 1 Traffic'!C$26*'Beer Revenue'!$I38</f>
        <v>9.0399999999999991</v>
      </c>
      <c r="N38" s="107">
        <f>'Year 1 Traffic'!D$26*'Beer Revenue'!$I38</f>
        <v>12.754285714285716</v>
      </c>
      <c r="O38" s="107">
        <f>'Year 1 Traffic'!E$26*'Beer Revenue'!$I38</f>
        <v>15.085714285714287</v>
      </c>
      <c r="P38" s="107">
        <f>'Year 1 Traffic'!F$26*'Beer Revenue'!$I38</f>
        <v>17.005714285714287</v>
      </c>
      <c r="Q38" s="107">
        <f>'Year 1 Traffic'!G$26*'Beer Revenue'!$I38</f>
        <v>15.085714285714287</v>
      </c>
      <c r="R38" s="107">
        <f>'Year 1 Traffic'!H$26*'Beer Revenue'!$I38</f>
        <v>14.171428571428573</v>
      </c>
      <c r="S38" s="107">
        <f>'Year 1 Traffic'!I$26*'Beer Revenue'!$I38</f>
        <v>17.714285714285719</v>
      </c>
      <c r="T38" s="107">
        <f>'Year 1 Traffic'!J$26*'Beer Revenue'!$I38</f>
        <v>17.142857142857142</v>
      </c>
      <c r="U38" s="107">
        <f>'Year 1 Traffic'!K$26*'Beer Revenue'!$I38</f>
        <v>17.005714285714287</v>
      </c>
      <c r="V38" s="107">
        <f>'Year 1 Traffic'!L$26*'Beer Revenue'!$I38</f>
        <v>12.342857142857143</v>
      </c>
      <c r="W38" s="107">
        <f>'Year 1 Traffic'!M$26*'Beer Revenue'!$I38</f>
        <v>11.337142857142858</v>
      </c>
      <c r="X38" s="288">
        <f t="shared" si="4"/>
        <v>167.18857142857146</v>
      </c>
      <c r="Y38" s="300">
        <f>L38*(1+Assumptions!$D$73)</f>
        <v>9.7782857142857136</v>
      </c>
      <c r="Z38" s="107">
        <f>M38*(1+Assumptions!$D$73)</f>
        <v>10.395999999999999</v>
      </c>
      <c r="AA38" s="107">
        <f>N38*(1+Assumptions!$D$73)</f>
        <v>14.667428571428573</v>
      </c>
      <c r="AB38" s="107">
        <f>O38*(1+Assumptions!$D$73)</f>
        <v>17.348571428571429</v>
      </c>
      <c r="AC38" s="107">
        <f>P38*(1+Assumptions!$D$73)</f>
        <v>19.556571428571427</v>
      </c>
      <c r="AD38" s="107">
        <f>Q38*(1+Assumptions!$D$73)</f>
        <v>17.348571428571429</v>
      </c>
      <c r="AE38" s="107">
        <f>R38*(1+Assumptions!$D$73)</f>
        <v>16.297142857142859</v>
      </c>
      <c r="AF38" s="107">
        <f>S38*(1+Assumptions!$D$73)</f>
        <v>20.371428571428574</v>
      </c>
      <c r="AG38" s="107">
        <f>T38*(1+Assumptions!$D$73)</f>
        <v>19.714285714285712</v>
      </c>
      <c r="AH38" s="107">
        <f>U38*(1+Assumptions!$D$73)</f>
        <v>19.556571428571427</v>
      </c>
      <c r="AI38" s="107">
        <f>V38*(1+Assumptions!$D$73)</f>
        <v>14.194285714285714</v>
      </c>
      <c r="AJ38" s="107">
        <f>W38*(1+Assumptions!$D$73)</f>
        <v>13.037714285714285</v>
      </c>
      <c r="AK38" s="288">
        <f t="shared" si="12"/>
        <v>192.26685714285716</v>
      </c>
      <c r="AL38" s="300">
        <f>Y38*(1+Assumptions!$E$73)</f>
        <v>10.756114285714286</v>
      </c>
      <c r="AM38" s="107">
        <f>Z38*(1+Assumptions!$E$73)</f>
        <v>11.435599999999999</v>
      </c>
      <c r="AN38" s="107">
        <f>AA38*(1+Assumptions!$E$73)</f>
        <v>16.134171428571431</v>
      </c>
      <c r="AO38" s="107">
        <f>AB38*(1+Assumptions!$E$73)</f>
        <v>19.083428571428573</v>
      </c>
      <c r="AP38" s="107">
        <f>AC38*(1+Assumptions!$E$73)</f>
        <v>21.512228571428572</v>
      </c>
      <c r="AQ38" s="107">
        <f>AD38*(1+Assumptions!$E$73)</f>
        <v>19.083428571428573</v>
      </c>
      <c r="AR38" s="107">
        <f>AE38*(1+Assumptions!$E$73)</f>
        <v>17.926857142857145</v>
      </c>
      <c r="AS38" s="107">
        <f>AF38*(1+Assumptions!$E$73)</f>
        <v>22.408571428571435</v>
      </c>
      <c r="AT38" s="107">
        <f>AG38*(1+Assumptions!$E$73)</f>
        <v>21.685714285714283</v>
      </c>
      <c r="AU38" s="107">
        <f>AH38*(1+Assumptions!$E$73)</f>
        <v>21.512228571428572</v>
      </c>
      <c r="AV38" s="107">
        <f>AI38*(1+Assumptions!$E$73)</f>
        <v>15.613714285714286</v>
      </c>
      <c r="AW38" s="107">
        <f>AJ38*(1+Assumptions!$E$73)</f>
        <v>14.341485714285716</v>
      </c>
      <c r="AX38" s="288">
        <f t="shared" si="13"/>
        <v>211.49354285714287</v>
      </c>
      <c r="AY38" s="300">
        <f>AL38*(1+Assumptions!$F$73)</f>
        <v>11.293920000000002</v>
      </c>
      <c r="AZ38" s="107">
        <f>AM38*(1+Assumptions!$F$73)</f>
        <v>12.007379999999999</v>
      </c>
      <c r="BA38" s="107">
        <f>AN38*(1+Assumptions!$F$73)</f>
        <v>16.940880000000003</v>
      </c>
      <c r="BB38" s="107">
        <f>AO38*(1+Assumptions!$F$73)</f>
        <v>20.037600000000001</v>
      </c>
      <c r="BC38" s="107">
        <f>AP38*(1+Assumptions!$F$73)</f>
        <v>22.587840000000003</v>
      </c>
      <c r="BD38" s="107">
        <f>AQ38*(1+Assumptions!$F$73)</f>
        <v>20.037600000000001</v>
      </c>
      <c r="BE38" s="107">
        <f>AR38*(1+Assumptions!$F$73)</f>
        <v>18.823200000000003</v>
      </c>
      <c r="BF38" s="107">
        <f>AS38*(1+Assumptions!$F$73)</f>
        <v>23.529000000000007</v>
      </c>
      <c r="BG38" s="107">
        <f>AT38*(1+Assumptions!$F$73)</f>
        <v>22.77</v>
      </c>
      <c r="BH38" s="107">
        <f>AU38*(1+Assumptions!$F$73)</f>
        <v>22.587840000000003</v>
      </c>
      <c r="BI38" s="107">
        <f>AV38*(1+Assumptions!$F$73)</f>
        <v>16.394400000000001</v>
      </c>
      <c r="BJ38" s="107">
        <f>AW38*(1+Assumptions!$F$73)</f>
        <v>15.058560000000002</v>
      </c>
      <c r="BK38" s="288">
        <f t="shared" si="14"/>
        <v>222.06822</v>
      </c>
      <c r="BL38" s="300">
        <f>AY38*(1+Assumptions!$G$73)</f>
        <v>11.858616000000003</v>
      </c>
      <c r="BM38" s="107">
        <f>AZ38*(1+Assumptions!$G$73)</f>
        <v>12.607749</v>
      </c>
      <c r="BN38" s="107">
        <f>BA38*(1+Assumptions!$G$73)</f>
        <v>17.787924000000004</v>
      </c>
      <c r="BO38" s="107">
        <f>BB38*(1+Assumptions!$G$73)</f>
        <v>21.039480000000001</v>
      </c>
      <c r="BP38" s="107">
        <f>BC38*(1+Assumptions!$G$73)</f>
        <v>23.717232000000006</v>
      </c>
      <c r="BQ38" s="107">
        <f>BD38*(1+Assumptions!$G$73)</f>
        <v>21.039480000000001</v>
      </c>
      <c r="BR38" s="107">
        <f>BE38*(1+Assumptions!$G$73)</f>
        <v>19.764360000000003</v>
      </c>
      <c r="BS38" s="107">
        <f>BF38*(1+Assumptions!$G$73)</f>
        <v>24.70545000000001</v>
      </c>
      <c r="BT38" s="107">
        <f>BG38*(1+Assumptions!$G$73)</f>
        <v>23.9085</v>
      </c>
      <c r="BU38" s="107">
        <f>BH38*(1+Assumptions!$G$73)</f>
        <v>23.717232000000006</v>
      </c>
      <c r="BV38" s="107">
        <f>BI38*(1+Assumptions!$G$73)</f>
        <v>17.214120000000001</v>
      </c>
      <c r="BW38" s="107">
        <f>BJ38*(1+Assumptions!$G$73)</f>
        <v>15.811488000000002</v>
      </c>
      <c r="BX38" s="288">
        <f t="shared" si="15"/>
        <v>233.17163100000005</v>
      </c>
      <c r="BY38" s="102">
        <f t="shared" si="17"/>
        <v>1026.1888224285715</v>
      </c>
    </row>
    <row r="39" spans="1:77" ht="14.5">
      <c r="A39" s="92"/>
      <c r="B39" s="276">
        <v>16.989999999999998</v>
      </c>
      <c r="C39" s="272">
        <f>B39*(1+Assumptions!D$74)</f>
        <v>16.989999999999998</v>
      </c>
      <c r="D39" s="272">
        <f>C39*(1+Assumptions!E$74)</f>
        <v>17.669599999999999</v>
      </c>
      <c r="E39" s="272">
        <f>D39*(1+Assumptions!F$74)</f>
        <v>17.669599999999999</v>
      </c>
      <c r="F39" s="272">
        <f>E39*(1+Assumptions!G$74)</f>
        <v>18.376383999999998</v>
      </c>
      <c r="G39" s="108"/>
      <c r="H39" s="280">
        <f t="shared" si="16"/>
        <v>1053.3799999999999</v>
      </c>
      <c r="I39" s="278">
        <v>0.05</v>
      </c>
      <c r="J39" s="92" t="str">
        <f t="shared" si="11"/>
        <v>Rotating IPA #2</v>
      </c>
      <c r="K39" s="92"/>
      <c r="L39" s="107">
        <f>'Year 1 Traffic'!B$26*'Beer Revenue'!$I39</f>
        <v>4.2514285714285718</v>
      </c>
      <c r="M39" s="107">
        <f>'Year 1 Traffic'!C$26*'Beer Revenue'!$I39</f>
        <v>4.5199999999999996</v>
      </c>
      <c r="N39" s="107">
        <f>'Year 1 Traffic'!D$26*'Beer Revenue'!$I39</f>
        <v>6.3771428571428581</v>
      </c>
      <c r="O39" s="107">
        <f>'Year 1 Traffic'!E$26*'Beer Revenue'!$I39</f>
        <v>7.5428571428571436</v>
      </c>
      <c r="P39" s="107">
        <f>'Year 1 Traffic'!F$26*'Beer Revenue'!$I39</f>
        <v>8.5028571428571436</v>
      </c>
      <c r="Q39" s="107">
        <f>'Year 1 Traffic'!G$26*'Beer Revenue'!$I39</f>
        <v>7.5428571428571436</v>
      </c>
      <c r="R39" s="107">
        <f>'Year 1 Traffic'!H$26*'Beer Revenue'!$I39</f>
        <v>7.0857142857142863</v>
      </c>
      <c r="S39" s="107">
        <f>'Year 1 Traffic'!I$26*'Beer Revenue'!$I39</f>
        <v>8.8571428571428594</v>
      </c>
      <c r="T39" s="107">
        <f>'Year 1 Traffic'!J$26*'Beer Revenue'!$I39</f>
        <v>8.5714285714285712</v>
      </c>
      <c r="U39" s="107">
        <f>'Year 1 Traffic'!K$26*'Beer Revenue'!$I39</f>
        <v>8.5028571428571436</v>
      </c>
      <c r="V39" s="107">
        <f>'Year 1 Traffic'!L$26*'Beer Revenue'!$I39</f>
        <v>6.1714285714285717</v>
      </c>
      <c r="W39" s="107">
        <f>'Year 1 Traffic'!M$26*'Beer Revenue'!$I39</f>
        <v>5.668571428571429</v>
      </c>
      <c r="X39" s="288">
        <f t="shared" si="4"/>
        <v>83.594285714285732</v>
      </c>
      <c r="Y39" s="300">
        <f>L39*(1+Assumptions!$D$73)</f>
        <v>4.8891428571428568</v>
      </c>
      <c r="Z39" s="107">
        <f>M39*(1+Assumptions!$D$73)</f>
        <v>5.1979999999999995</v>
      </c>
      <c r="AA39" s="107">
        <f>N39*(1+Assumptions!$D$73)</f>
        <v>7.3337142857142865</v>
      </c>
      <c r="AB39" s="107">
        <f>O39*(1+Assumptions!$D$73)</f>
        <v>8.6742857142857144</v>
      </c>
      <c r="AC39" s="107">
        <f>P39*(1+Assumptions!$D$73)</f>
        <v>9.7782857142857136</v>
      </c>
      <c r="AD39" s="107">
        <f>Q39*(1+Assumptions!$D$73)</f>
        <v>8.6742857142857144</v>
      </c>
      <c r="AE39" s="107">
        <f>R39*(1+Assumptions!$D$73)</f>
        <v>8.1485714285714295</v>
      </c>
      <c r="AF39" s="107">
        <f>S39*(1+Assumptions!$D$73)</f>
        <v>10.185714285714287</v>
      </c>
      <c r="AG39" s="107">
        <f>T39*(1+Assumptions!$D$73)</f>
        <v>9.8571428571428559</v>
      </c>
      <c r="AH39" s="107">
        <f>U39*(1+Assumptions!$D$73)</f>
        <v>9.7782857142857136</v>
      </c>
      <c r="AI39" s="107">
        <f>V39*(1+Assumptions!$D$73)</f>
        <v>7.097142857142857</v>
      </c>
      <c r="AJ39" s="107">
        <f>W39*(1+Assumptions!$D$73)</f>
        <v>6.5188571428571427</v>
      </c>
      <c r="AK39" s="288">
        <f t="shared" si="12"/>
        <v>96.133428571428581</v>
      </c>
      <c r="AL39" s="300">
        <f>Y39*(1+Assumptions!$E$73)</f>
        <v>5.3780571428571431</v>
      </c>
      <c r="AM39" s="107">
        <f>Z39*(1+Assumptions!$E$73)</f>
        <v>5.7177999999999995</v>
      </c>
      <c r="AN39" s="107">
        <f>AA39*(1+Assumptions!$E$73)</f>
        <v>8.0670857142857155</v>
      </c>
      <c r="AO39" s="107">
        <f>AB39*(1+Assumptions!$E$73)</f>
        <v>9.5417142857142867</v>
      </c>
      <c r="AP39" s="107">
        <f>AC39*(1+Assumptions!$E$73)</f>
        <v>10.756114285714286</v>
      </c>
      <c r="AQ39" s="107">
        <f>AD39*(1+Assumptions!$E$73)</f>
        <v>9.5417142857142867</v>
      </c>
      <c r="AR39" s="107">
        <f>AE39*(1+Assumptions!$E$73)</f>
        <v>8.9634285714285724</v>
      </c>
      <c r="AS39" s="107">
        <f>AF39*(1+Assumptions!$E$73)</f>
        <v>11.204285714285717</v>
      </c>
      <c r="AT39" s="107">
        <f>AG39*(1+Assumptions!$E$73)</f>
        <v>10.842857142857142</v>
      </c>
      <c r="AU39" s="107">
        <f>AH39*(1+Assumptions!$E$73)</f>
        <v>10.756114285714286</v>
      </c>
      <c r="AV39" s="107">
        <f>AI39*(1+Assumptions!$E$73)</f>
        <v>7.8068571428571429</v>
      </c>
      <c r="AW39" s="107">
        <f>AJ39*(1+Assumptions!$E$73)</f>
        <v>7.1707428571428578</v>
      </c>
      <c r="AX39" s="288">
        <f t="shared" si="13"/>
        <v>105.74677142857144</v>
      </c>
      <c r="AY39" s="300">
        <f>AL39*(1+Assumptions!$F$73)</f>
        <v>5.6469600000000009</v>
      </c>
      <c r="AZ39" s="107">
        <f>AM39*(1+Assumptions!$F$73)</f>
        <v>6.0036899999999997</v>
      </c>
      <c r="BA39" s="107">
        <f>AN39*(1+Assumptions!$F$73)</f>
        <v>8.4704400000000017</v>
      </c>
      <c r="BB39" s="107">
        <f>AO39*(1+Assumptions!$F$73)</f>
        <v>10.018800000000001</v>
      </c>
      <c r="BC39" s="107">
        <f>AP39*(1+Assumptions!$F$73)</f>
        <v>11.293920000000002</v>
      </c>
      <c r="BD39" s="107">
        <f>AQ39*(1+Assumptions!$F$73)</f>
        <v>10.018800000000001</v>
      </c>
      <c r="BE39" s="107">
        <f>AR39*(1+Assumptions!$F$73)</f>
        <v>9.4116000000000017</v>
      </c>
      <c r="BF39" s="107">
        <f>AS39*(1+Assumptions!$F$73)</f>
        <v>11.764500000000004</v>
      </c>
      <c r="BG39" s="107">
        <f>AT39*(1+Assumptions!$F$73)</f>
        <v>11.385</v>
      </c>
      <c r="BH39" s="107">
        <f>AU39*(1+Assumptions!$F$73)</f>
        <v>11.293920000000002</v>
      </c>
      <c r="BI39" s="107">
        <f>AV39*(1+Assumptions!$F$73)</f>
        <v>8.1972000000000005</v>
      </c>
      <c r="BJ39" s="107">
        <f>AW39*(1+Assumptions!$F$73)</f>
        <v>7.5292800000000009</v>
      </c>
      <c r="BK39" s="288">
        <f t="shared" si="14"/>
        <v>111.03411</v>
      </c>
      <c r="BL39" s="300">
        <f>AY39*(1+Assumptions!$G$73)</f>
        <v>5.9293080000000016</v>
      </c>
      <c r="BM39" s="107">
        <f>AZ39*(1+Assumptions!$G$73)</f>
        <v>6.3038745</v>
      </c>
      <c r="BN39" s="107">
        <f>BA39*(1+Assumptions!$G$73)</f>
        <v>8.8939620000000019</v>
      </c>
      <c r="BO39" s="107">
        <f>BB39*(1+Assumptions!$G$73)</f>
        <v>10.519740000000001</v>
      </c>
      <c r="BP39" s="107">
        <f>BC39*(1+Assumptions!$G$73)</f>
        <v>11.858616000000003</v>
      </c>
      <c r="BQ39" s="107">
        <f>BD39*(1+Assumptions!$G$73)</f>
        <v>10.519740000000001</v>
      </c>
      <c r="BR39" s="107">
        <f>BE39*(1+Assumptions!$G$73)</f>
        <v>9.8821800000000017</v>
      </c>
      <c r="BS39" s="107">
        <f>BF39*(1+Assumptions!$G$73)</f>
        <v>12.352725000000005</v>
      </c>
      <c r="BT39" s="107">
        <f>BG39*(1+Assumptions!$G$73)</f>
        <v>11.95425</v>
      </c>
      <c r="BU39" s="107">
        <f>BH39*(1+Assumptions!$G$73)</f>
        <v>11.858616000000003</v>
      </c>
      <c r="BV39" s="107">
        <f>BI39*(1+Assumptions!$G$73)</f>
        <v>8.6070600000000006</v>
      </c>
      <c r="BW39" s="107">
        <f>BJ39*(1+Assumptions!$G$73)</f>
        <v>7.9057440000000012</v>
      </c>
      <c r="BX39" s="288">
        <f t="shared" si="15"/>
        <v>116.58581550000002</v>
      </c>
      <c r="BY39" s="102">
        <f t="shared" si="17"/>
        <v>513.09441121428574</v>
      </c>
    </row>
    <row r="40" spans="1:77" ht="14.5">
      <c r="A40" s="92"/>
      <c r="B40" s="276">
        <v>19.989999999999998</v>
      </c>
      <c r="C40" s="272">
        <f>B40*(1+Assumptions!D$74)</f>
        <v>19.989999999999998</v>
      </c>
      <c r="D40" s="272">
        <f>C40*(1+Assumptions!E$74)</f>
        <v>20.7896</v>
      </c>
      <c r="E40" s="272">
        <f>D40*(1+Assumptions!F$74)</f>
        <v>20.7896</v>
      </c>
      <c r="F40" s="272">
        <f>E40*(1+Assumptions!G$74)</f>
        <v>21.621184</v>
      </c>
      <c r="G40" s="108"/>
      <c r="H40" s="280">
        <f t="shared" si="16"/>
        <v>1239.3799999999999</v>
      </c>
      <c r="I40" s="278">
        <v>0</v>
      </c>
      <c r="J40" s="92" t="str">
        <f t="shared" si="11"/>
        <v>Special release</v>
      </c>
      <c r="K40" s="92"/>
      <c r="L40" s="107">
        <f>'Year 1 Traffic'!B$26*'Beer Revenue'!$I40</f>
        <v>0</v>
      </c>
      <c r="M40" s="107">
        <f>'Year 1 Traffic'!C$26*'Beer Revenue'!$I40</f>
        <v>0</v>
      </c>
      <c r="N40" s="107">
        <f>'Year 1 Traffic'!D$26*'Beer Revenue'!$I40</f>
        <v>0</v>
      </c>
      <c r="O40" s="107">
        <f>'Year 1 Traffic'!E$26*'Beer Revenue'!$I40</f>
        <v>0</v>
      </c>
      <c r="P40" s="107">
        <f>'Year 1 Traffic'!F$26*'Beer Revenue'!$I40</f>
        <v>0</v>
      </c>
      <c r="Q40" s="107">
        <f>'Year 1 Traffic'!G$26*'Beer Revenue'!$I40</f>
        <v>0</v>
      </c>
      <c r="R40" s="107">
        <f>'Year 1 Traffic'!H$26*'Beer Revenue'!$I40</f>
        <v>0</v>
      </c>
      <c r="S40" s="107">
        <f>'Year 1 Traffic'!I$26*'Beer Revenue'!$I40</f>
        <v>0</v>
      </c>
      <c r="T40" s="107">
        <f>'Year 1 Traffic'!J$26*'Beer Revenue'!$I40</f>
        <v>0</v>
      </c>
      <c r="U40" s="107">
        <f>'Year 1 Traffic'!K$26*'Beer Revenue'!$I40</f>
        <v>0</v>
      </c>
      <c r="V40" s="107">
        <f>'Year 1 Traffic'!L$26*'Beer Revenue'!$I40</f>
        <v>0</v>
      </c>
      <c r="W40" s="107">
        <f>'Year 1 Traffic'!M$26*'Beer Revenue'!$I40</f>
        <v>0</v>
      </c>
      <c r="X40" s="288">
        <f t="shared" si="4"/>
        <v>0</v>
      </c>
      <c r="Y40" s="300">
        <f>L40*(1+Assumptions!$D$73)</f>
        <v>0</v>
      </c>
      <c r="Z40" s="107">
        <f>M40*(1+Assumptions!$D$73)</f>
        <v>0</v>
      </c>
      <c r="AA40" s="107">
        <f>N40*(1+Assumptions!$D$73)</f>
        <v>0</v>
      </c>
      <c r="AB40" s="107">
        <f>O40*(1+Assumptions!$D$73)</f>
        <v>0</v>
      </c>
      <c r="AC40" s="107">
        <f>P40*(1+Assumptions!$D$73)</f>
        <v>0</v>
      </c>
      <c r="AD40" s="107">
        <f>Q40*(1+Assumptions!$D$73)</f>
        <v>0</v>
      </c>
      <c r="AE40" s="107">
        <f>R40*(1+Assumptions!$D$73)</f>
        <v>0</v>
      </c>
      <c r="AF40" s="107">
        <f>S40*(1+Assumptions!$D$73)</f>
        <v>0</v>
      </c>
      <c r="AG40" s="107">
        <f>T40*(1+Assumptions!$D$73)</f>
        <v>0</v>
      </c>
      <c r="AH40" s="107">
        <f>U40*(1+Assumptions!$D$73)</f>
        <v>0</v>
      </c>
      <c r="AI40" s="107">
        <f>V40*(1+Assumptions!$D$73)</f>
        <v>0</v>
      </c>
      <c r="AJ40" s="107">
        <f>W40*(1+Assumptions!$D$73)</f>
        <v>0</v>
      </c>
      <c r="AK40" s="288">
        <f t="shared" si="12"/>
        <v>0</v>
      </c>
      <c r="AL40" s="300">
        <f>Y40*(1+Assumptions!$E$73)</f>
        <v>0</v>
      </c>
      <c r="AM40" s="107">
        <f>Z40*(1+Assumptions!$E$73)</f>
        <v>0</v>
      </c>
      <c r="AN40" s="107">
        <f>AA40*(1+Assumptions!$E$73)</f>
        <v>0</v>
      </c>
      <c r="AO40" s="107">
        <f>AB40*(1+Assumptions!$E$73)</f>
        <v>0</v>
      </c>
      <c r="AP40" s="107">
        <f>AC40*(1+Assumptions!$E$73)</f>
        <v>0</v>
      </c>
      <c r="AQ40" s="107">
        <f>AD40*(1+Assumptions!$E$73)</f>
        <v>0</v>
      </c>
      <c r="AR40" s="107">
        <f>AE40*(1+Assumptions!$E$73)</f>
        <v>0</v>
      </c>
      <c r="AS40" s="107">
        <f>AF40*(1+Assumptions!$E$73)</f>
        <v>0</v>
      </c>
      <c r="AT40" s="107">
        <f>AG40*(1+Assumptions!$E$73)</f>
        <v>0</v>
      </c>
      <c r="AU40" s="107">
        <f>AH40*(1+Assumptions!$E$73)</f>
        <v>0</v>
      </c>
      <c r="AV40" s="107">
        <f>AI40*(1+Assumptions!$E$73)</f>
        <v>0</v>
      </c>
      <c r="AW40" s="107">
        <f>AJ40*(1+Assumptions!$E$73)</f>
        <v>0</v>
      </c>
      <c r="AX40" s="288">
        <f t="shared" si="13"/>
        <v>0</v>
      </c>
      <c r="AY40" s="300">
        <f>AL40*(1+Assumptions!$F$73)</f>
        <v>0</v>
      </c>
      <c r="AZ40" s="107">
        <f>AM40*(1+Assumptions!$F$73)</f>
        <v>0</v>
      </c>
      <c r="BA40" s="107">
        <f>AN40*(1+Assumptions!$F$73)</f>
        <v>0</v>
      </c>
      <c r="BB40" s="107">
        <f>AO40*(1+Assumptions!$F$73)</f>
        <v>0</v>
      </c>
      <c r="BC40" s="107">
        <f>AP40*(1+Assumptions!$F$73)</f>
        <v>0</v>
      </c>
      <c r="BD40" s="107">
        <f>AQ40*(1+Assumptions!$F$73)</f>
        <v>0</v>
      </c>
      <c r="BE40" s="107">
        <f>AR40*(1+Assumptions!$F$73)</f>
        <v>0</v>
      </c>
      <c r="BF40" s="107">
        <f>AS40*(1+Assumptions!$F$73)</f>
        <v>0</v>
      </c>
      <c r="BG40" s="107">
        <f>AT40*(1+Assumptions!$F$73)</f>
        <v>0</v>
      </c>
      <c r="BH40" s="107">
        <f>AU40*(1+Assumptions!$F$73)</f>
        <v>0</v>
      </c>
      <c r="BI40" s="107">
        <f>AV40*(1+Assumptions!$F$73)</f>
        <v>0</v>
      </c>
      <c r="BJ40" s="107">
        <f>AW40*(1+Assumptions!$F$73)</f>
        <v>0</v>
      </c>
      <c r="BK40" s="288">
        <f t="shared" si="14"/>
        <v>0</v>
      </c>
      <c r="BL40" s="300">
        <f>AY40*(1+Assumptions!$G$73)</f>
        <v>0</v>
      </c>
      <c r="BM40" s="107">
        <f>AZ40*(1+Assumptions!$G$73)</f>
        <v>0</v>
      </c>
      <c r="BN40" s="107">
        <f>BA40*(1+Assumptions!$G$73)</f>
        <v>0</v>
      </c>
      <c r="BO40" s="107">
        <f>BB40*(1+Assumptions!$G$73)</f>
        <v>0</v>
      </c>
      <c r="BP40" s="107">
        <f>BC40*(1+Assumptions!$G$73)</f>
        <v>0</v>
      </c>
      <c r="BQ40" s="107">
        <f>BD40*(1+Assumptions!$G$73)</f>
        <v>0</v>
      </c>
      <c r="BR40" s="107">
        <f>BE40*(1+Assumptions!$G$73)</f>
        <v>0</v>
      </c>
      <c r="BS40" s="107">
        <f>BF40*(1+Assumptions!$G$73)</f>
        <v>0</v>
      </c>
      <c r="BT40" s="107">
        <f>BG40*(1+Assumptions!$G$73)</f>
        <v>0</v>
      </c>
      <c r="BU40" s="107">
        <f>BH40*(1+Assumptions!$G$73)</f>
        <v>0</v>
      </c>
      <c r="BV40" s="107">
        <f>BI40*(1+Assumptions!$G$73)</f>
        <v>0</v>
      </c>
      <c r="BW40" s="107">
        <f>BJ40*(1+Assumptions!$G$73)</f>
        <v>0</v>
      </c>
      <c r="BX40" s="288">
        <f t="shared" si="15"/>
        <v>0</v>
      </c>
      <c r="BY40" s="102">
        <f t="shared" si="17"/>
        <v>0</v>
      </c>
    </row>
    <row r="41" spans="1:77" ht="14.5">
      <c r="A41" s="92"/>
      <c r="B41" s="276"/>
      <c r="C41" s="272">
        <f>B41*(1+Assumptions!D$74)</f>
        <v>0</v>
      </c>
      <c r="D41" s="272">
        <f>C41*(1+Assumptions!E$74)</f>
        <v>0</v>
      </c>
      <c r="E41" s="272">
        <f>D41*(1+Assumptions!F$74)</f>
        <v>0</v>
      </c>
      <c r="F41" s="272">
        <f>E41*(1+Assumptions!G$74)</f>
        <v>0</v>
      </c>
      <c r="G41" s="108"/>
      <c r="H41" s="280">
        <f>B41/4/16*128*31</f>
        <v>0</v>
      </c>
      <c r="I41" s="278"/>
      <c r="J41" s="92">
        <f t="shared" si="11"/>
        <v>0</v>
      </c>
      <c r="K41" s="92"/>
      <c r="L41" s="107">
        <f>'Year 1 Traffic'!B$26*'Beer Revenue'!$I41</f>
        <v>0</v>
      </c>
      <c r="M41" s="107">
        <f>'Year 1 Traffic'!C$26*'Beer Revenue'!$I41</f>
        <v>0</v>
      </c>
      <c r="N41" s="107">
        <f>'Year 1 Traffic'!D$26*'Beer Revenue'!$I41</f>
        <v>0</v>
      </c>
      <c r="O41" s="107">
        <f>'Year 1 Traffic'!E$26*'Beer Revenue'!$I41</f>
        <v>0</v>
      </c>
      <c r="P41" s="107">
        <f>'Year 1 Traffic'!F$26*'Beer Revenue'!$I41</f>
        <v>0</v>
      </c>
      <c r="Q41" s="107">
        <f>'Year 1 Traffic'!G$26*'Beer Revenue'!$I41</f>
        <v>0</v>
      </c>
      <c r="R41" s="107">
        <f>'Year 1 Traffic'!H$26*'Beer Revenue'!$I41</f>
        <v>0</v>
      </c>
      <c r="S41" s="107">
        <f>'Year 1 Traffic'!I$26*'Beer Revenue'!$I41</f>
        <v>0</v>
      </c>
      <c r="T41" s="107">
        <f>'Year 1 Traffic'!J$26*'Beer Revenue'!$I41</f>
        <v>0</v>
      </c>
      <c r="U41" s="107">
        <f>'Year 1 Traffic'!K$26*'Beer Revenue'!$I41</f>
        <v>0</v>
      </c>
      <c r="V41" s="107">
        <f>'Year 1 Traffic'!L$26*'Beer Revenue'!$I41</f>
        <v>0</v>
      </c>
      <c r="W41" s="107">
        <f>'Year 1 Traffic'!M$26*'Beer Revenue'!$I41</f>
        <v>0</v>
      </c>
      <c r="X41" s="288">
        <f>SUM(L41:W41)</f>
        <v>0</v>
      </c>
      <c r="Y41" s="300">
        <f>L41*(1+Assumptions!$D$73)</f>
        <v>0</v>
      </c>
      <c r="Z41" s="107">
        <f>M41*(1+Assumptions!$D$73)</f>
        <v>0</v>
      </c>
      <c r="AA41" s="107">
        <f>N41*(1+Assumptions!$D$73)</f>
        <v>0</v>
      </c>
      <c r="AB41" s="107">
        <f>O41*(1+Assumptions!$D$73)</f>
        <v>0</v>
      </c>
      <c r="AC41" s="107">
        <f>P41*(1+Assumptions!$D$73)</f>
        <v>0</v>
      </c>
      <c r="AD41" s="107">
        <f>Q41*(1+Assumptions!$D$73)</f>
        <v>0</v>
      </c>
      <c r="AE41" s="107">
        <f>R41*(1+Assumptions!$D$73)</f>
        <v>0</v>
      </c>
      <c r="AF41" s="107">
        <f>S41*(1+Assumptions!$D$73)</f>
        <v>0</v>
      </c>
      <c r="AG41" s="107">
        <f>T41*(1+Assumptions!$D$73)</f>
        <v>0</v>
      </c>
      <c r="AH41" s="107">
        <f>U41*(1+Assumptions!$D$73)</f>
        <v>0</v>
      </c>
      <c r="AI41" s="107">
        <f>V41*(1+Assumptions!$D$73)</f>
        <v>0</v>
      </c>
      <c r="AJ41" s="107">
        <f>W41*(1+Assumptions!$D$73)</f>
        <v>0</v>
      </c>
      <c r="AK41" s="288">
        <f>SUM(Y41:AJ41)</f>
        <v>0</v>
      </c>
      <c r="AL41" s="300">
        <f>Y41*(1+Assumptions!$E$73)</f>
        <v>0</v>
      </c>
      <c r="AM41" s="107">
        <f>Z41*(1+Assumptions!$E$73)</f>
        <v>0</v>
      </c>
      <c r="AN41" s="107">
        <f>AA41*(1+Assumptions!$E$73)</f>
        <v>0</v>
      </c>
      <c r="AO41" s="107">
        <f>AB41*(1+Assumptions!$E$73)</f>
        <v>0</v>
      </c>
      <c r="AP41" s="107">
        <f>AC41*(1+Assumptions!$E$73)</f>
        <v>0</v>
      </c>
      <c r="AQ41" s="107">
        <f>AD41*(1+Assumptions!$E$73)</f>
        <v>0</v>
      </c>
      <c r="AR41" s="107">
        <f>AE41*(1+Assumptions!$E$73)</f>
        <v>0</v>
      </c>
      <c r="AS41" s="107">
        <f>AF41*(1+Assumptions!$E$73)</f>
        <v>0</v>
      </c>
      <c r="AT41" s="107">
        <f>AG41*(1+Assumptions!$E$73)</f>
        <v>0</v>
      </c>
      <c r="AU41" s="107">
        <f>AH41*(1+Assumptions!$E$73)</f>
        <v>0</v>
      </c>
      <c r="AV41" s="107">
        <f>AI41*(1+Assumptions!$E$73)</f>
        <v>0</v>
      </c>
      <c r="AW41" s="107">
        <f>AJ41*(1+Assumptions!$E$73)</f>
        <v>0</v>
      </c>
      <c r="AX41" s="288">
        <f t="shared" si="13"/>
        <v>0</v>
      </c>
      <c r="AY41" s="300">
        <f>AL41*(1+Assumptions!$F$73)</f>
        <v>0</v>
      </c>
      <c r="AZ41" s="107">
        <f>AM41*(1+Assumptions!$F$73)</f>
        <v>0</v>
      </c>
      <c r="BA41" s="107">
        <f>AN41*(1+Assumptions!$F$73)</f>
        <v>0</v>
      </c>
      <c r="BB41" s="107">
        <f>AO41*(1+Assumptions!$F$73)</f>
        <v>0</v>
      </c>
      <c r="BC41" s="107">
        <f>AP41*(1+Assumptions!$F$73)</f>
        <v>0</v>
      </c>
      <c r="BD41" s="107">
        <f>AQ41*(1+Assumptions!$F$73)</f>
        <v>0</v>
      </c>
      <c r="BE41" s="107">
        <f>AR41*(1+Assumptions!$F$73)</f>
        <v>0</v>
      </c>
      <c r="BF41" s="107">
        <f>AS41*(1+Assumptions!$F$73)</f>
        <v>0</v>
      </c>
      <c r="BG41" s="107">
        <f>AT41*(1+Assumptions!$F$73)</f>
        <v>0</v>
      </c>
      <c r="BH41" s="107">
        <f>AU41*(1+Assumptions!$F$73)</f>
        <v>0</v>
      </c>
      <c r="BI41" s="107">
        <f>AV41*(1+Assumptions!$F$73)</f>
        <v>0</v>
      </c>
      <c r="BJ41" s="107">
        <f>AW41*(1+Assumptions!$F$73)</f>
        <v>0</v>
      </c>
      <c r="BK41" s="288">
        <f t="shared" si="14"/>
        <v>0</v>
      </c>
      <c r="BL41" s="300">
        <f>AY41*(1+Assumptions!$G$73)</f>
        <v>0</v>
      </c>
      <c r="BM41" s="107">
        <f>AZ41*(1+Assumptions!$G$73)</f>
        <v>0</v>
      </c>
      <c r="BN41" s="107">
        <f>BA41*(1+Assumptions!$G$73)</f>
        <v>0</v>
      </c>
      <c r="BO41" s="107">
        <f>BB41*(1+Assumptions!$G$73)</f>
        <v>0</v>
      </c>
      <c r="BP41" s="107">
        <f>BC41*(1+Assumptions!$G$73)</f>
        <v>0</v>
      </c>
      <c r="BQ41" s="107">
        <f>BD41*(1+Assumptions!$G$73)</f>
        <v>0</v>
      </c>
      <c r="BR41" s="107">
        <f>BE41*(1+Assumptions!$G$73)</f>
        <v>0</v>
      </c>
      <c r="BS41" s="107">
        <f>BF41*(1+Assumptions!$G$73)</f>
        <v>0</v>
      </c>
      <c r="BT41" s="107">
        <f>BG41*(1+Assumptions!$G$73)</f>
        <v>0</v>
      </c>
      <c r="BU41" s="107">
        <f>BH41*(1+Assumptions!$G$73)</f>
        <v>0</v>
      </c>
      <c r="BV41" s="107">
        <f>BI41*(1+Assumptions!$G$73)</f>
        <v>0</v>
      </c>
      <c r="BW41" s="107">
        <f>BJ41*(1+Assumptions!$G$73)</f>
        <v>0</v>
      </c>
      <c r="BX41" s="288">
        <f t="shared" si="15"/>
        <v>0</v>
      </c>
      <c r="BY41" s="102">
        <f>X41+AK41+AX41+BK41+BX41</f>
        <v>0</v>
      </c>
    </row>
    <row r="42" spans="1:77" ht="14.5">
      <c r="A42" s="92"/>
      <c r="B42" s="276"/>
      <c r="C42" s="272">
        <f>B42*(1+Assumptions!D$74)</f>
        <v>0</v>
      </c>
      <c r="D42" s="272">
        <f>C42*(1+Assumptions!E$74)</f>
        <v>0</v>
      </c>
      <c r="E42" s="272">
        <f>D42*(1+Assumptions!F$74)</f>
        <v>0</v>
      </c>
      <c r="F42" s="272">
        <f>E42*(1+Assumptions!G$74)</f>
        <v>0</v>
      </c>
      <c r="G42" s="108"/>
      <c r="H42" s="280">
        <f>B42/4/16*128*31</f>
        <v>0</v>
      </c>
      <c r="I42" s="278"/>
      <c r="J42" s="92">
        <f t="shared" si="11"/>
        <v>0</v>
      </c>
      <c r="K42" s="92"/>
      <c r="L42" s="107">
        <f>'Year 1 Traffic'!B$26*'Beer Revenue'!$I42</f>
        <v>0</v>
      </c>
      <c r="M42" s="107">
        <f>'Year 1 Traffic'!C$26*'Beer Revenue'!$I42</f>
        <v>0</v>
      </c>
      <c r="N42" s="107">
        <f>'Year 1 Traffic'!D$26*'Beer Revenue'!$I42</f>
        <v>0</v>
      </c>
      <c r="O42" s="107">
        <f>'Year 1 Traffic'!E$26*'Beer Revenue'!$I42</f>
        <v>0</v>
      </c>
      <c r="P42" s="107">
        <f>'Year 1 Traffic'!F$26*'Beer Revenue'!$I42</f>
        <v>0</v>
      </c>
      <c r="Q42" s="107">
        <f>'Year 1 Traffic'!G$26*'Beer Revenue'!$I42</f>
        <v>0</v>
      </c>
      <c r="R42" s="107">
        <f>'Year 1 Traffic'!H$26*'Beer Revenue'!$I42</f>
        <v>0</v>
      </c>
      <c r="S42" s="107">
        <f>'Year 1 Traffic'!I$26*'Beer Revenue'!$I42</f>
        <v>0</v>
      </c>
      <c r="T42" s="107">
        <f>'Year 1 Traffic'!J$26*'Beer Revenue'!$I42</f>
        <v>0</v>
      </c>
      <c r="U42" s="107">
        <f>'Year 1 Traffic'!K$26*'Beer Revenue'!$I42</f>
        <v>0</v>
      </c>
      <c r="V42" s="107">
        <f>'Year 1 Traffic'!L$26*'Beer Revenue'!$I42</f>
        <v>0</v>
      </c>
      <c r="W42" s="107">
        <f>'Year 1 Traffic'!M$26*'Beer Revenue'!$I42</f>
        <v>0</v>
      </c>
      <c r="X42" s="288">
        <f>SUM(L42:W42)</f>
        <v>0</v>
      </c>
      <c r="Y42" s="300">
        <f>L42*(1+Assumptions!$D$73)</f>
        <v>0</v>
      </c>
      <c r="Z42" s="107">
        <f>M42*(1+Assumptions!$D$73)</f>
        <v>0</v>
      </c>
      <c r="AA42" s="107">
        <f>N42*(1+Assumptions!$D$73)</f>
        <v>0</v>
      </c>
      <c r="AB42" s="107">
        <f>O42*(1+Assumptions!$D$73)</f>
        <v>0</v>
      </c>
      <c r="AC42" s="107">
        <f>P42*(1+Assumptions!$D$73)</f>
        <v>0</v>
      </c>
      <c r="AD42" s="107">
        <f>Q42*(1+Assumptions!$D$73)</f>
        <v>0</v>
      </c>
      <c r="AE42" s="107">
        <f>R42*(1+Assumptions!$D$73)</f>
        <v>0</v>
      </c>
      <c r="AF42" s="107">
        <f>S42*(1+Assumptions!$D$73)</f>
        <v>0</v>
      </c>
      <c r="AG42" s="107">
        <f>T42*(1+Assumptions!$D$73)</f>
        <v>0</v>
      </c>
      <c r="AH42" s="107">
        <f>U42*(1+Assumptions!$D$73)</f>
        <v>0</v>
      </c>
      <c r="AI42" s="107">
        <f>V42*(1+Assumptions!$D$73)</f>
        <v>0</v>
      </c>
      <c r="AJ42" s="107">
        <f>W42*(1+Assumptions!$D$73)</f>
        <v>0</v>
      </c>
      <c r="AK42" s="288">
        <f>SUM(Y42:AJ42)</f>
        <v>0</v>
      </c>
      <c r="AL42" s="300">
        <f>Y42*(1+Assumptions!$E$73)</f>
        <v>0</v>
      </c>
      <c r="AM42" s="107">
        <f>Z42*(1+Assumptions!$E$73)</f>
        <v>0</v>
      </c>
      <c r="AN42" s="107">
        <f>AA42*(1+Assumptions!$E$73)</f>
        <v>0</v>
      </c>
      <c r="AO42" s="107">
        <f>AB42*(1+Assumptions!$E$73)</f>
        <v>0</v>
      </c>
      <c r="AP42" s="107">
        <f>AC42*(1+Assumptions!$E$73)</f>
        <v>0</v>
      </c>
      <c r="AQ42" s="107">
        <f>AD42*(1+Assumptions!$E$73)</f>
        <v>0</v>
      </c>
      <c r="AR42" s="107">
        <f>AE42*(1+Assumptions!$E$73)</f>
        <v>0</v>
      </c>
      <c r="AS42" s="107">
        <f>AF42*(1+Assumptions!$E$73)</f>
        <v>0</v>
      </c>
      <c r="AT42" s="107">
        <f>AG42*(1+Assumptions!$E$73)</f>
        <v>0</v>
      </c>
      <c r="AU42" s="107">
        <f>AH42*(1+Assumptions!$E$73)</f>
        <v>0</v>
      </c>
      <c r="AV42" s="107">
        <f>AI42*(1+Assumptions!$E$73)</f>
        <v>0</v>
      </c>
      <c r="AW42" s="107">
        <f>AJ42*(1+Assumptions!$E$73)</f>
        <v>0</v>
      </c>
      <c r="AX42" s="288">
        <f t="shared" si="13"/>
        <v>0</v>
      </c>
      <c r="AY42" s="300">
        <f>AL42*(1+Assumptions!$F$73)</f>
        <v>0</v>
      </c>
      <c r="AZ42" s="107">
        <f>AM42*(1+Assumptions!$F$73)</f>
        <v>0</v>
      </c>
      <c r="BA42" s="107">
        <f>AN42*(1+Assumptions!$F$73)</f>
        <v>0</v>
      </c>
      <c r="BB42" s="107">
        <f>AO42*(1+Assumptions!$F$73)</f>
        <v>0</v>
      </c>
      <c r="BC42" s="107">
        <f>AP42*(1+Assumptions!$F$73)</f>
        <v>0</v>
      </c>
      <c r="BD42" s="107">
        <f>AQ42*(1+Assumptions!$F$73)</f>
        <v>0</v>
      </c>
      <c r="BE42" s="107">
        <f>AR42*(1+Assumptions!$F$73)</f>
        <v>0</v>
      </c>
      <c r="BF42" s="107">
        <f>AS42*(1+Assumptions!$F$73)</f>
        <v>0</v>
      </c>
      <c r="BG42" s="107">
        <f>AT42*(1+Assumptions!$F$73)</f>
        <v>0</v>
      </c>
      <c r="BH42" s="107">
        <f>AU42*(1+Assumptions!$F$73)</f>
        <v>0</v>
      </c>
      <c r="BI42" s="107">
        <f>AV42*(1+Assumptions!$F$73)</f>
        <v>0</v>
      </c>
      <c r="BJ42" s="107">
        <f>AW42*(1+Assumptions!$F$73)</f>
        <v>0</v>
      </c>
      <c r="BK42" s="288">
        <f t="shared" si="14"/>
        <v>0</v>
      </c>
      <c r="BL42" s="300">
        <f>AY42*(1+Assumptions!$G$73)</f>
        <v>0</v>
      </c>
      <c r="BM42" s="107">
        <f>AZ42*(1+Assumptions!$G$73)</f>
        <v>0</v>
      </c>
      <c r="BN42" s="107">
        <f>BA42*(1+Assumptions!$G$73)</f>
        <v>0</v>
      </c>
      <c r="BO42" s="107">
        <f>BB42*(1+Assumptions!$G$73)</f>
        <v>0</v>
      </c>
      <c r="BP42" s="107">
        <f>BC42*(1+Assumptions!$G$73)</f>
        <v>0</v>
      </c>
      <c r="BQ42" s="107">
        <f>BD42*(1+Assumptions!$G$73)</f>
        <v>0</v>
      </c>
      <c r="BR42" s="107">
        <f>BE42*(1+Assumptions!$G$73)</f>
        <v>0</v>
      </c>
      <c r="BS42" s="107">
        <f>BF42*(1+Assumptions!$G$73)</f>
        <v>0</v>
      </c>
      <c r="BT42" s="107">
        <f>BG42*(1+Assumptions!$G$73)</f>
        <v>0</v>
      </c>
      <c r="BU42" s="107">
        <f>BH42*(1+Assumptions!$G$73)</f>
        <v>0</v>
      </c>
      <c r="BV42" s="107">
        <f>BI42*(1+Assumptions!$G$73)</f>
        <v>0</v>
      </c>
      <c r="BW42" s="107">
        <f>BJ42*(1+Assumptions!$G$73)</f>
        <v>0</v>
      </c>
      <c r="BX42" s="288">
        <f t="shared" si="15"/>
        <v>0</v>
      </c>
      <c r="BY42" s="102">
        <f>X42+AK42+AX42+BK42+BX42</f>
        <v>0</v>
      </c>
    </row>
    <row r="43" spans="1:77" ht="14.5">
      <c r="A43" s="92"/>
      <c r="B43" s="276"/>
      <c r="C43" s="272">
        <f>B43*(1+Assumptions!D$74)</f>
        <v>0</v>
      </c>
      <c r="D43" s="272">
        <f>C43*(1+Assumptions!E$74)</f>
        <v>0</v>
      </c>
      <c r="E43" s="272">
        <f>D43*(1+Assumptions!F$74)</f>
        <v>0</v>
      </c>
      <c r="F43" s="272">
        <f>E43*(1+Assumptions!G$74)</f>
        <v>0</v>
      </c>
      <c r="G43" s="108"/>
      <c r="H43" s="280">
        <f>B43/4/16*128*31</f>
        <v>0</v>
      </c>
      <c r="I43" s="278"/>
      <c r="J43" s="92">
        <f t="shared" si="11"/>
        <v>0</v>
      </c>
      <c r="K43" s="92"/>
      <c r="L43" s="107">
        <f>'Year 1 Traffic'!B$26*'Beer Revenue'!$I43</f>
        <v>0</v>
      </c>
      <c r="M43" s="107">
        <f>'Year 1 Traffic'!C$26*'Beer Revenue'!$I43</f>
        <v>0</v>
      </c>
      <c r="N43" s="107">
        <f>'Year 1 Traffic'!D$26*'Beer Revenue'!$I43</f>
        <v>0</v>
      </c>
      <c r="O43" s="107">
        <f>'Year 1 Traffic'!E$26*'Beer Revenue'!$I43</f>
        <v>0</v>
      </c>
      <c r="P43" s="107">
        <f>'Year 1 Traffic'!F$26*'Beer Revenue'!$I43</f>
        <v>0</v>
      </c>
      <c r="Q43" s="107">
        <f>'Year 1 Traffic'!G$26*'Beer Revenue'!$I43</f>
        <v>0</v>
      </c>
      <c r="R43" s="107">
        <f>'Year 1 Traffic'!H$26*'Beer Revenue'!$I43</f>
        <v>0</v>
      </c>
      <c r="S43" s="107">
        <f>'Year 1 Traffic'!I$26*'Beer Revenue'!$I43</f>
        <v>0</v>
      </c>
      <c r="T43" s="107">
        <f>'Year 1 Traffic'!J$26*'Beer Revenue'!$I43</f>
        <v>0</v>
      </c>
      <c r="U43" s="107">
        <f>'Year 1 Traffic'!K$26*'Beer Revenue'!$I43</f>
        <v>0</v>
      </c>
      <c r="V43" s="107">
        <f>'Year 1 Traffic'!L$26*'Beer Revenue'!$I43</f>
        <v>0</v>
      </c>
      <c r="W43" s="107">
        <f>'Year 1 Traffic'!M$26*'Beer Revenue'!$I43</f>
        <v>0</v>
      </c>
      <c r="X43" s="288">
        <f>SUM(L43:W43)</f>
        <v>0</v>
      </c>
      <c r="Y43" s="300">
        <f>L43*(1+Assumptions!$D$73)</f>
        <v>0</v>
      </c>
      <c r="Z43" s="107">
        <f>M43*(1+Assumptions!$D$73)</f>
        <v>0</v>
      </c>
      <c r="AA43" s="107">
        <f>N43*(1+Assumptions!$D$73)</f>
        <v>0</v>
      </c>
      <c r="AB43" s="107">
        <f>O43*(1+Assumptions!$D$73)</f>
        <v>0</v>
      </c>
      <c r="AC43" s="107">
        <f>P43*(1+Assumptions!$D$73)</f>
        <v>0</v>
      </c>
      <c r="AD43" s="107">
        <f>Q43*(1+Assumptions!$D$73)</f>
        <v>0</v>
      </c>
      <c r="AE43" s="107">
        <f>R43*(1+Assumptions!$D$73)</f>
        <v>0</v>
      </c>
      <c r="AF43" s="107">
        <f>S43*(1+Assumptions!$D$73)</f>
        <v>0</v>
      </c>
      <c r="AG43" s="107">
        <f>T43*(1+Assumptions!$D$73)</f>
        <v>0</v>
      </c>
      <c r="AH43" s="107">
        <f>U43*(1+Assumptions!$D$73)</f>
        <v>0</v>
      </c>
      <c r="AI43" s="107">
        <f>V43*(1+Assumptions!$D$73)</f>
        <v>0</v>
      </c>
      <c r="AJ43" s="107">
        <f>W43*(1+Assumptions!$D$73)</f>
        <v>0</v>
      </c>
      <c r="AK43" s="288">
        <f>SUM(Y43:AJ43)</f>
        <v>0</v>
      </c>
      <c r="AL43" s="300">
        <f>Y43*(1+Assumptions!$E$73)</f>
        <v>0</v>
      </c>
      <c r="AM43" s="107">
        <f>Z43*(1+Assumptions!$E$73)</f>
        <v>0</v>
      </c>
      <c r="AN43" s="107">
        <f>AA43*(1+Assumptions!$E$73)</f>
        <v>0</v>
      </c>
      <c r="AO43" s="107">
        <f>AB43*(1+Assumptions!$E$73)</f>
        <v>0</v>
      </c>
      <c r="AP43" s="107">
        <f>AC43*(1+Assumptions!$E$73)</f>
        <v>0</v>
      </c>
      <c r="AQ43" s="107">
        <f>AD43*(1+Assumptions!$E$73)</f>
        <v>0</v>
      </c>
      <c r="AR43" s="107">
        <f>AE43*(1+Assumptions!$E$73)</f>
        <v>0</v>
      </c>
      <c r="AS43" s="107">
        <f>AF43*(1+Assumptions!$E$73)</f>
        <v>0</v>
      </c>
      <c r="AT43" s="107">
        <f>AG43*(1+Assumptions!$E$73)</f>
        <v>0</v>
      </c>
      <c r="AU43" s="107">
        <f>AH43*(1+Assumptions!$E$73)</f>
        <v>0</v>
      </c>
      <c r="AV43" s="107">
        <f>AI43*(1+Assumptions!$E$73)</f>
        <v>0</v>
      </c>
      <c r="AW43" s="107">
        <f>AJ43*(1+Assumptions!$E$73)</f>
        <v>0</v>
      </c>
      <c r="AX43" s="288">
        <f t="shared" si="13"/>
        <v>0</v>
      </c>
      <c r="AY43" s="300">
        <f>AL43*(1+Assumptions!$F$73)</f>
        <v>0</v>
      </c>
      <c r="AZ43" s="107">
        <f>AM43*(1+Assumptions!$F$73)</f>
        <v>0</v>
      </c>
      <c r="BA43" s="107">
        <f>AN43*(1+Assumptions!$F$73)</f>
        <v>0</v>
      </c>
      <c r="BB43" s="107">
        <f>AO43*(1+Assumptions!$F$73)</f>
        <v>0</v>
      </c>
      <c r="BC43" s="107">
        <f>AP43*(1+Assumptions!$F$73)</f>
        <v>0</v>
      </c>
      <c r="BD43" s="107">
        <f>AQ43*(1+Assumptions!$F$73)</f>
        <v>0</v>
      </c>
      <c r="BE43" s="107">
        <f>AR43*(1+Assumptions!$F$73)</f>
        <v>0</v>
      </c>
      <c r="BF43" s="107">
        <f>AS43*(1+Assumptions!$F$73)</f>
        <v>0</v>
      </c>
      <c r="BG43" s="107">
        <f>AT43*(1+Assumptions!$F$73)</f>
        <v>0</v>
      </c>
      <c r="BH43" s="107">
        <f>AU43*(1+Assumptions!$F$73)</f>
        <v>0</v>
      </c>
      <c r="BI43" s="107">
        <f>AV43*(1+Assumptions!$F$73)</f>
        <v>0</v>
      </c>
      <c r="BJ43" s="107">
        <f>AW43*(1+Assumptions!$F$73)</f>
        <v>0</v>
      </c>
      <c r="BK43" s="288">
        <f t="shared" si="14"/>
        <v>0</v>
      </c>
      <c r="BL43" s="300">
        <f>AY43*(1+Assumptions!$G$73)</f>
        <v>0</v>
      </c>
      <c r="BM43" s="107">
        <f>AZ43*(1+Assumptions!$G$73)</f>
        <v>0</v>
      </c>
      <c r="BN43" s="107">
        <f>BA43*(1+Assumptions!$G$73)</f>
        <v>0</v>
      </c>
      <c r="BO43" s="107">
        <f>BB43*(1+Assumptions!$G$73)</f>
        <v>0</v>
      </c>
      <c r="BP43" s="107">
        <f>BC43*(1+Assumptions!$G$73)</f>
        <v>0</v>
      </c>
      <c r="BQ43" s="107">
        <f>BD43*(1+Assumptions!$G$73)</f>
        <v>0</v>
      </c>
      <c r="BR43" s="107">
        <f>BE43*(1+Assumptions!$G$73)</f>
        <v>0</v>
      </c>
      <c r="BS43" s="107">
        <f>BF43*(1+Assumptions!$G$73)</f>
        <v>0</v>
      </c>
      <c r="BT43" s="107">
        <f>BG43*(1+Assumptions!$G$73)</f>
        <v>0</v>
      </c>
      <c r="BU43" s="107">
        <f>BH43*(1+Assumptions!$G$73)</f>
        <v>0</v>
      </c>
      <c r="BV43" s="107">
        <f>BI43*(1+Assumptions!$G$73)</f>
        <v>0</v>
      </c>
      <c r="BW43" s="107">
        <f>BJ43*(1+Assumptions!$G$73)</f>
        <v>0</v>
      </c>
      <c r="BX43" s="288">
        <f t="shared" si="15"/>
        <v>0</v>
      </c>
      <c r="BY43" s="102">
        <f>X43+AK43+AX43+BK43+BX43</f>
        <v>0</v>
      </c>
    </row>
    <row r="44" spans="1:77" ht="14.5">
      <c r="A44" s="92"/>
      <c r="B44" s="108"/>
      <c r="C44" s="108"/>
      <c r="D44" s="108"/>
      <c r="E44" s="108"/>
      <c r="F44" s="108"/>
      <c r="G44" s="108"/>
      <c r="H44" s="108"/>
      <c r="I44" s="275">
        <f>SUM(I31:I43)</f>
        <v>1</v>
      </c>
      <c r="J44" s="92"/>
      <c r="K44" s="92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288"/>
      <c r="Y44" s="300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290"/>
      <c r="AL44" s="300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290"/>
      <c r="AY44" s="300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290"/>
      <c r="BL44" s="300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2"/>
      <c r="BY44" s="102"/>
    </row>
    <row r="45" spans="1:77" ht="14.5">
      <c r="A45" s="92"/>
      <c r="B45" s="108"/>
      <c r="C45" s="108"/>
      <c r="D45" s="108"/>
      <c r="E45" s="108"/>
      <c r="F45" s="108"/>
      <c r="G45" s="108"/>
      <c r="H45" s="108"/>
      <c r="I45" s="108"/>
      <c r="J45" s="92"/>
      <c r="K45" s="92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288"/>
      <c r="Y45" s="300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290"/>
      <c r="AL45" s="300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290"/>
      <c r="AY45" s="300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290"/>
      <c r="BL45" s="300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2"/>
      <c r="BY45" s="102"/>
    </row>
    <row r="46" spans="1:77" ht="14.5">
      <c r="A46" s="92"/>
      <c r="B46" s="105"/>
      <c r="C46" s="105"/>
      <c r="D46" s="105"/>
      <c r="E46" s="105"/>
      <c r="F46" s="105"/>
      <c r="G46" s="108"/>
      <c r="H46" s="108"/>
      <c r="I46" s="92"/>
      <c r="J46" s="92"/>
      <c r="K46" s="92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288"/>
      <c r="Y46" s="300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290"/>
      <c r="AL46" s="300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290"/>
      <c r="AY46" s="300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290"/>
      <c r="BL46" s="300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2"/>
      <c r="BY46" s="102"/>
    </row>
    <row r="47" spans="1:77" ht="15.75" customHeight="1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1"/>
      <c r="Y47" s="301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301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301"/>
      <c r="AZ47" s="110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301"/>
      <c r="BM47" s="110"/>
      <c r="BN47" s="110"/>
      <c r="BO47" s="110"/>
      <c r="BP47" s="110"/>
      <c r="BQ47" s="110"/>
      <c r="BR47" s="110"/>
      <c r="BS47" s="110"/>
      <c r="BT47" s="110"/>
      <c r="BU47" s="110"/>
      <c r="BV47" s="110"/>
      <c r="BW47" s="110"/>
      <c r="BX47" s="110"/>
      <c r="BY47" s="110"/>
    </row>
    <row r="48" spans="1:77" ht="15.75" customHeight="1">
      <c r="A48" s="109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285"/>
      <c r="Y48" s="294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304"/>
      <c r="AL48" s="294"/>
      <c r="AM48" s="92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304"/>
      <c r="AY48" s="294"/>
      <c r="AZ48" s="92"/>
      <c r="BA48" s="92"/>
      <c r="BB48" s="92"/>
      <c r="BC48" s="92"/>
      <c r="BD48" s="92"/>
      <c r="BE48" s="92"/>
      <c r="BF48" s="92"/>
      <c r="BG48" s="92"/>
      <c r="BH48" s="92"/>
      <c r="BI48" s="92"/>
      <c r="BJ48" s="92"/>
      <c r="BK48" s="304"/>
      <c r="BL48" s="294"/>
      <c r="BM48" s="92"/>
      <c r="BN48" s="92"/>
      <c r="BO48" s="92"/>
      <c r="BP48" s="92"/>
      <c r="BQ48" s="92"/>
      <c r="BR48" s="92"/>
      <c r="BS48" s="92"/>
      <c r="BT48" s="92"/>
      <c r="BU48" s="92"/>
      <c r="BV48" s="92"/>
      <c r="BW48" s="92"/>
      <c r="BX48" s="92"/>
      <c r="BY48" s="92"/>
    </row>
    <row r="49" spans="1:77" ht="15.75" customHeight="1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285"/>
      <c r="Y49" s="294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304"/>
      <c r="AL49" s="294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304"/>
      <c r="AY49" s="294"/>
      <c r="AZ49" s="92"/>
      <c r="BA49" s="92"/>
      <c r="BB49" s="92"/>
      <c r="BC49" s="92"/>
      <c r="BD49" s="92"/>
      <c r="BE49" s="92"/>
      <c r="BF49" s="92"/>
      <c r="BG49" s="92"/>
      <c r="BH49" s="92"/>
      <c r="BI49" s="92"/>
      <c r="BJ49" s="92"/>
      <c r="BK49" s="304"/>
      <c r="BL49" s="294"/>
      <c r="BM49" s="92"/>
      <c r="BN49" s="92"/>
      <c r="BO49" s="92"/>
      <c r="BP49" s="92"/>
      <c r="BQ49" s="92"/>
      <c r="BR49" s="92"/>
      <c r="BS49" s="92"/>
      <c r="BT49" s="92"/>
      <c r="BU49" s="92"/>
      <c r="BV49" s="92"/>
      <c r="BW49" s="92"/>
      <c r="BX49" s="92"/>
      <c r="BY49" s="92"/>
    </row>
    <row r="50" spans="1:77" ht="15.75" customHeight="1">
      <c r="A50" s="92"/>
      <c r="B50" s="92"/>
      <c r="C50" s="92"/>
      <c r="D50" s="92"/>
      <c r="E50" s="92"/>
      <c r="F50" s="92"/>
      <c r="G50" s="91" t="s">
        <v>534</v>
      </c>
      <c r="H50" s="91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285"/>
      <c r="Y50" s="294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304"/>
      <c r="AL50" s="294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304"/>
      <c r="AY50" s="294"/>
      <c r="AZ50" s="92"/>
      <c r="BA50" s="92"/>
      <c r="BB50" s="92"/>
      <c r="BC50" s="92"/>
      <c r="BD50" s="92"/>
      <c r="BE50" s="92"/>
      <c r="BF50" s="92"/>
      <c r="BG50" s="92"/>
      <c r="BH50" s="92"/>
      <c r="BI50" s="92"/>
      <c r="BJ50" s="92"/>
      <c r="BK50" s="304"/>
      <c r="BL50" s="294"/>
      <c r="BM50" s="92"/>
      <c r="BN50" s="92"/>
      <c r="BO50" s="92"/>
      <c r="BP50" s="92"/>
      <c r="BQ50" s="92"/>
      <c r="BR50" s="92"/>
      <c r="BS50" s="92"/>
      <c r="BT50" s="92"/>
      <c r="BU50" s="92"/>
      <c r="BV50" s="92"/>
      <c r="BW50" s="92"/>
      <c r="BX50" s="92"/>
      <c r="BY50" s="92"/>
    </row>
    <row r="51" spans="1:77" ht="15.75" customHeight="1">
      <c r="A51" s="92"/>
      <c r="B51" s="92"/>
      <c r="C51" s="92"/>
      <c r="D51" s="92"/>
      <c r="E51" s="92"/>
      <c r="F51" s="92"/>
      <c r="G51" s="104"/>
      <c r="H51" s="104"/>
      <c r="I51" s="255" t="s">
        <v>455</v>
      </c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285"/>
      <c r="Y51" s="294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304"/>
      <c r="AL51" s="294"/>
      <c r="AM51" s="92"/>
      <c r="AN51" s="92"/>
      <c r="AO51" s="92"/>
      <c r="AP51" s="92"/>
      <c r="AQ51" s="92"/>
      <c r="AR51" s="92"/>
      <c r="AS51" s="92"/>
      <c r="AT51" s="92"/>
      <c r="AU51" s="92"/>
      <c r="AV51" s="92"/>
      <c r="AW51" s="92"/>
      <c r="AX51" s="304"/>
      <c r="AY51" s="294"/>
      <c r="AZ51" s="92"/>
      <c r="BA51" s="92"/>
      <c r="BB51" s="92"/>
      <c r="BC51" s="92"/>
      <c r="BD51" s="92"/>
      <c r="BE51" s="92"/>
      <c r="BF51" s="92"/>
      <c r="BG51" s="92"/>
      <c r="BH51" s="92"/>
      <c r="BI51" s="92"/>
      <c r="BJ51" s="92"/>
      <c r="BK51" s="304"/>
      <c r="BL51" s="294"/>
      <c r="BM51" s="92"/>
      <c r="BN51" s="92"/>
      <c r="BO51" s="92"/>
      <c r="BP51" s="92"/>
      <c r="BQ51" s="92"/>
      <c r="BR51" s="92"/>
      <c r="BS51" s="92"/>
      <c r="BT51" s="92"/>
      <c r="BU51" s="92"/>
      <c r="BV51" s="92"/>
      <c r="BW51" s="92"/>
      <c r="BX51" s="92"/>
      <c r="BY51" s="92"/>
    </row>
    <row r="52" spans="1:77" ht="15.75" customHeight="1">
      <c r="A52" s="92"/>
      <c r="B52" s="92"/>
      <c r="C52" s="92"/>
      <c r="D52" s="92"/>
      <c r="E52" s="92"/>
      <c r="F52" s="92"/>
      <c r="G52" s="106"/>
      <c r="H52" s="106"/>
      <c r="I52" s="92"/>
      <c r="J52" s="92" t="str">
        <f t="shared" ref="J52:J64" si="18">J15</f>
        <v>Core 1 - Lager</v>
      </c>
      <c r="K52" s="92"/>
      <c r="L52" s="112">
        <f t="shared" ref="L52:W52" si="19">$B15*L15</f>
        <v>3338.1685714285713</v>
      </c>
      <c r="M52" s="112">
        <f t="shared" si="19"/>
        <v>3549.0474999999997</v>
      </c>
      <c r="N52" s="112">
        <f t="shared" si="19"/>
        <v>5007.2528571428575</v>
      </c>
      <c r="O52" s="112">
        <f t="shared" si="19"/>
        <v>5922.5571428571438</v>
      </c>
      <c r="P52" s="112">
        <f t="shared" si="19"/>
        <v>6676.3371428571427</v>
      </c>
      <c r="Q52" s="112">
        <f t="shared" si="19"/>
        <v>5922.5571428571438</v>
      </c>
      <c r="R52" s="112">
        <f t="shared" si="19"/>
        <v>5563.6142857142859</v>
      </c>
      <c r="S52" s="112">
        <f t="shared" si="19"/>
        <v>6954.5178571428569</v>
      </c>
      <c r="T52" s="112">
        <f t="shared" si="19"/>
        <v>6730.1785714285706</v>
      </c>
      <c r="U52" s="112">
        <f t="shared" si="19"/>
        <v>6676.3371428571427</v>
      </c>
      <c r="V52" s="112">
        <f t="shared" si="19"/>
        <v>4845.7285714285717</v>
      </c>
      <c r="W52" s="112">
        <f t="shared" si="19"/>
        <v>4450.8914285714291</v>
      </c>
      <c r="X52" s="291">
        <f t="shared" ref="X52:X77" si="20">SUM(L52:W52)</f>
        <v>65637.188214285707</v>
      </c>
      <c r="Y52" s="112">
        <f>$C15*Y15</f>
        <v>3838.8938571428571</v>
      </c>
      <c r="Z52" s="112">
        <f t="shared" ref="Z52:AJ52" si="21">$C15*Z15</f>
        <v>4081.4046249999997</v>
      </c>
      <c r="AA52" s="112">
        <f t="shared" si="21"/>
        <v>5758.3407857142856</v>
      </c>
      <c r="AB52" s="112">
        <f t="shared" si="21"/>
        <v>6810.9407142857153</v>
      </c>
      <c r="AC52" s="112">
        <f t="shared" si="21"/>
        <v>7677.7877142857142</v>
      </c>
      <c r="AD52" s="112">
        <f t="shared" si="21"/>
        <v>6810.9407142857153</v>
      </c>
      <c r="AE52" s="112">
        <f t="shared" si="21"/>
        <v>6398.1564285714285</v>
      </c>
      <c r="AF52" s="112">
        <f t="shared" si="21"/>
        <v>7997.6955357142851</v>
      </c>
      <c r="AG52" s="112">
        <f t="shared" si="21"/>
        <v>7739.705357142856</v>
      </c>
      <c r="AH52" s="112">
        <f t="shared" si="21"/>
        <v>7677.7877142857142</v>
      </c>
      <c r="AI52" s="112">
        <f t="shared" si="21"/>
        <v>5572.5878571428575</v>
      </c>
      <c r="AJ52" s="112">
        <f t="shared" si="21"/>
        <v>5118.5251428571437</v>
      </c>
      <c r="AK52" s="291">
        <f>SUM(Y52:AJ52)</f>
        <v>75482.766446428577</v>
      </c>
      <c r="AL52" s="112">
        <f>$D15*AL15</f>
        <v>4391.6945725714286</v>
      </c>
      <c r="AM52" s="112">
        <f t="shared" ref="AM52:AW52" si="22">$D15*AM15</f>
        <v>4669.1268909999999</v>
      </c>
      <c r="AN52" s="112">
        <f t="shared" si="22"/>
        <v>6587.5418588571438</v>
      </c>
      <c r="AO52" s="112">
        <f t="shared" si="22"/>
        <v>7791.7161771428591</v>
      </c>
      <c r="AP52" s="112">
        <f t="shared" si="22"/>
        <v>8783.3891451428572</v>
      </c>
      <c r="AQ52" s="112">
        <f t="shared" si="22"/>
        <v>7791.7161771428591</v>
      </c>
      <c r="AR52" s="112">
        <f t="shared" si="22"/>
        <v>7319.490954285714</v>
      </c>
      <c r="AS52" s="112">
        <f t="shared" si="22"/>
        <v>9149.363692857145</v>
      </c>
      <c r="AT52" s="112">
        <f t="shared" si="22"/>
        <v>8854.2229285714275</v>
      </c>
      <c r="AU52" s="112">
        <f t="shared" si="22"/>
        <v>8783.3891451428572</v>
      </c>
      <c r="AV52" s="112">
        <f t="shared" si="22"/>
        <v>6375.0405085714301</v>
      </c>
      <c r="AW52" s="112">
        <f t="shared" si="22"/>
        <v>5855.5927634285727</v>
      </c>
      <c r="AX52" s="289">
        <f>SUM(AL52:AW52)</f>
        <v>86352.284814714294</v>
      </c>
      <c r="AY52" s="112">
        <f>$E15*AY15</f>
        <v>4611.2793012000002</v>
      </c>
      <c r="AZ52" s="112">
        <f t="shared" ref="AZ52:BJ52" si="23">$E15*AZ15</f>
        <v>4902.5832355500006</v>
      </c>
      <c r="BA52" s="112">
        <f t="shared" si="23"/>
        <v>6916.9189518000012</v>
      </c>
      <c r="BB52" s="112">
        <f t="shared" si="23"/>
        <v>8181.3019860000031</v>
      </c>
      <c r="BC52" s="112">
        <f t="shared" si="23"/>
        <v>9222.5586024000004</v>
      </c>
      <c r="BD52" s="112">
        <f t="shared" si="23"/>
        <v>8181.3019860000031</v>
      </c>
      <c r="BE52" s="112">
        <f t="shared" si="23"/>
        <v>7685.465502</v>
      </c>
      <c r="BF52" s="112">
        <f t="shared" si="23"/>
        <v>9606.8318775000025</v>
      </c>
      <c r="BG52" s="112">
        <f t="shared" si="23"/>
        <v>9296.9340749999992</v>
      </c>
      <c r="BH52" s="112">
        <f t="shared" si="23"/>
        <v>9222.5586024000004</v>
      </c>
      <c r="BI52" s="112">
        <f t="shared" si="23"/>
        <v>6693.7925340000029</v>
      </c>
      <c r="BJ52" s="112">
        <f t="shared" si="23"/>
        <v>6148.3724016000015</v>
      </c>
      <c r="BK52" s="289">
        <f>SUM(AY52:BJ52)</f>
        <v>90669.89905545002</v>
      </c>
      <c r="BL52" s="112">
        <f>$F15*BL15</f>
        <v>5035.5169969104008</v>
      </c>
      <c r="BM52" s="112">
        <f t="shared" ref="BM52:BW52" si="24">$F15*BM15</f>
        <v>5353.6208932206009</v>
      </c>
      <c r="BN52" s="112">
        <f t="shared" si="24"/>
        <v>7553.2754953656022</v>
      </c>
      <c r="BO52" s="112">
        <f t="shared" si="24"/>
        <v>8933.981768712003</v>
      </c>
      <c r="BP52" s="112">
        <f t="shared" si="24"/>
        <v>10071.033993820802</v>
      </c>
      <c r="BQ52" s="112">
        <f t="shared" si="24"/>
        <v>8933.981768712003</v>
      </c>
      <c r="BR52" s="112">
        <f t="shared" si="24"/>
        <v>8392.5283281840002</v>
      </c>
      <c r="BS52" s="112">
        <f t="shared" si="24"/>
        <v>10490.660410230003</v>
      </c>
      <c r="BT52" s="112">
        <f t="shared" si="24"/>
        <v>10152.252009899999</v>
      </c>
      <c r="BU52" s="112">
        <f t="shared" si="24"/>
        <v>10071.033993820802</v>
      </c>
      <c r="BV52" s="112">
        <f t="shared" si="24"/>
        <v>7309.6214471280036</v>
      </c>
      <c r="BW52" s="112">
        <f t="shared" si="24"/>
        <v>6714.0226625472014</v>
      </c>
      <c r="BX52" s="291">
        <f>SUM(BL52:BW52)</f>
        <v>99011.529768551423</v>
      </c>
      <c r="BY52" s="103">
        <f>X52+AK52+AX52+BK52+BX52</f>
        <v>417153.66829942999</v>
      </c>
    </row>
    <row r="53" spans="1:77" ht="15.75" customHeight="1">
      <c r="A53" s="92"/>
      <c r="B53" s="92"/>
      <c r="C53" s="92"/>
      <c r="D53" s="92"/>
      <c r="E53" s="92"/>
      <c r="F53" s="92"/>
      <c r="G53" s="106"/>
      <c r="H53" s="106"/>
      <c r="I53" s="92"/>
      <c r="J53" s="92" t="str">
        <f t="shared" si="18"/>
        <v>Core 2 - Hoppy Pale</v>
      </c>
      <c r="K53" s="92"/>
      <c r="L53" s="112">
        <f t="shared" ref="L53:W53" si="25">$B16*L16</f>
        <v>6509.4287142857138</v>
      </c>
      <c r="M53" s="112">
        <f t="shared" si="25"/>
        <v>6920.6426249999986</v>
      </c>
      <c r="N53" s="112">
        <f t="shared" si="25"/>
        <v>9764.1430714285725</v>
      </c>
      <c r="O53" s="112">
        <f t="shared" si="25"/>
        <v>11548.986428571428</v>
      </c>
      <c r="P53" s="112">
        <f t="shared" si="25"/>
        <v>13018.857428571428</v>
      </c>
      <c r="Q53" s="112">
        <f t="shared" si="25"/>
        <v>11548.986428571428</v>
      </c>
      <c r="R53" s="112">
        <f t="shared" si="25"/>
        <v>10849.047857142858</v>
      </c>
      <c r="S53" s="112">
        <f t="shared" si="25"/>
        <v>13561.309821428571</v>
      </c>
      <c r="T53" s="112">
        <f t="shared" si="25"/>
        <v>13123.848214285712</v>
      </c>
      <c r="U53" s="112">
        <f t="shared" si="25"/>
        <v>13018.857428571428</v>
      </c>
      <c r="V53" s="112">
        <f t="shared" si="25"/>
        <v>9449.1707142857158</v>
      </c>
      <c r="W53" s="112">
        <f t="shared" si="25"/>
        <v>8679.2382857142857</v>
      </c>
      <c r="X53" s="291">
        <f t="shared" si="20"/>
        <v>127992.51701785713</v>
      </c>
      <c r="Y53" s="112">
        <f t="shared" ref="Y53:AJ64" si="26">$C16*Y16</f>
        <v>7485.84302142857</v>
      </c>
      <c r="Z53" s="112">
        <f t="shared" si="26"/>
        <v>7958.7390187499968</v>
      </c>
      <c r="AA53" s="112">
        <f t="shared" si="26"/>
        <v>11228.764532142857</v>
      </c>
      <c r="AB53" s="112">
        <f t="shared" si="26"/>
        <v>13281.334392857141</v>
      </c>
      <c r="AC53" s="112">
        <f t="shared" si="26"/>
        <v>14971.68604285714</v>
      </c>
      <c r="AD53" s="112">
        <f t="shared" si="26"/>
        <v>13281.334392857141</v>
      </c>
      <c r="AE53" s="112">
        <f t="shared" si="26"/>
        <v>12476.405035714284</v>
      </c>
      <c r="AF53" s="112">
        <f t="shared" si="26"/>
        <v>15595.506294642855</v>
      </c>
      <c r="AG53" s="112">
        <f t="shared" si="26"/>
        <v>15092.425446428568</v>
      </c>
      <c r="AH53" s="112">
        <f t="shared" si="26"/>
        <v>14971.68604285714</v>
      </c>
      <c r="AI53" s="112">
        <f t="shared" si="26"/>
        <v>10866.54632142857</v>
      </c>
      <c r="AJ53" s="112">
        <f t="shared" si="26"/>
        <v>9981.1240285714284</v>
      </c>
      <c r="AK53" s="291">
        <f t="shared" ref="AK53:AK65" si="27">SUM(Y53:AJ53)</f>
        <v>147191.39457053566</v>
      </c>
      <c r="AL53" s="112">
        <f t="shared" ref="AL53:AW64" si="28">$D16*AL16</f>
        <v>8563.8044165142837</v>
      </c>
      <c r="AM53" s="112">
        <f t="shared" si="28"/>
        <v>9104.7974374499972</v>
      </c>
      <c r="AN53" s="112">
        <f t="shared" si="28"/>
        <v>12845.706624771428</v>
      </c>
      <c r="AO53" s="112">
        <f t="shared" si="28"/>
        <v>15193.846545428569</v>
      </c>
      <c r="AP53" s="112">
        <f t="shared" si="28"/>
        <v>17127.608833028567</v>
      </c>
      <c r="AQ53" s="112">
        <f t="shared" si="28"/>
        <v>15193.846545428569</v>
      </c>
      <c r="AR53" s="112">
        <f t="shared" si="28"/>
        <v>14273.007360857142</v>
      </c>
      <c r="AS53" s="112">
        <f t="shared" si="28"/>
        <v>17841.259201071425</v>
      </c>
      <c r="AT53" s="112">
        <f t="shared" si="28"/>
        <v>17265.734710714285</v>
      </c>
      <c r="AU53" s="112">
        <f t="shared" si="28"/>
        <v>17127.608833028567</v>
      </c>
      <c r="AV53" s="112">
        <f t="shared" si="28"/>
        <v>12431.328991714285</v>
      </c>
      <c r="AW53" s="112">
        <f t="shared" si="28"/>
        <v>11418.405888685715</v>
      </c>
      <c r="AX53" s="289">
        <f t="shared" ref="AX53:AX65" si="29">SUM(AL53:AW53)</f>
        <v>168386.95538869285</v>
      </c>
      <c r="AY53" s="112">
        <f t="shared" ref="AY53:BJ64" si="30">$E16*AY16</f>
        <v>8991.9946373399998</v>
      </c>
      <c r="AZ53" s="112">
        <f t="shared" si="30"/>
        <v>9560.0373093224971</v>
      </c>
      <c r="BA53" s="112">
        <f t="shared" si="30"/>
        <v>13487.991956010001</v>
      </c>
      <c r="BB53" s="112">
        <f t="shared" si="30"/>
        <v>15953.538872699997</v>
      </c>
      <c r="BC53" s="112">
        <f t="shared" si="30"/>
        <v>17983.98927468</v>
      </c>
      <c r="BD53" s="112">
        <f t="shared" si="30"/>
        <v>15953.538872699997</v>
      </c>
      <c r="BE53" s="112">
        <f t="shared" si="30"/>
        <v>14986.6577289</v>
      </c>
      <c r="BF53" s="112">
        <f t="shared" si="30"/>
        <v>18733.322161124997</v>
      </c>
      <c r="BG53" s="112">
        <f t="shared" si="30"/>
        <v>18129.021446250001</v>
      </c>
      <c r="BH53" s="112">
        <f t="shared" si="30"/>
        <v>17983.98927468</v>
      </c>
      <c r="BI53" s="112">
        <f t="shared" si="30"/>
        <v>13052.895441300001</v>
      </c>
      <c r="BJ53" s="112">
        <f t="shared" si="30"/>
        <v>11989.32618312</v>
      </c>
      <c r="BK53" s="289">
        <f t="shared" ref="BK53:BK65" si="31">SUM(AY53:BJ53)</f>
        <v>176806.30315812747</v>
      </c>
      <c r="BL53" s="112">
        <f t="shared" ref="BL53:BW64" si="32">$F16*BL16</f>
        <v>9819.2581439752812</v>
      </c>
      <c r="BM53" s="112">
        <f t="shared" si="32"/>
        <v>10439.560741780169</v>
      </c>
      <c r="BN53" s="112">
        <f t="shared" si="32"/>
        <v>14728.887215962923</v>
      </c>
      <c r="BO53" s="112">
        <f t="shared" si="32"/>
        <v>17421.264448988401</v>
      </c>
      <c r="BP53" s="112">
        <f t="shared" si="32"/>
        <v>19638.516287950562</v>
      </c>
      <c r="BQ53" s="112">
        <f t="shared" si="32"/>
        <v>17421.264448988401</v>
      </c>
      <c r="BR53" s="112">
        <f t="shared" si="32"/>
        <v>16365.430239958803</v>
      </c>
      <c r="BS53" s="112">
        <f t="shared" si="32"/>
        <v>20456.787799948499</v>
      </c>
      <c r="BT53" s="112">
        <f t="shared" si="32"/>
        <v>19796.891419305004</v>
      </c>
      <c r="BU53" s="112">
        <f t="shared" si="32"/>
        <v>19638.516287950562</v>
      </c>
      <c r="BV53" s="112">
        <f t="shared" si="32"/>
        <v>14253.761821899601</v>
      </c>
      <c r="BW53" s="112">
        <f t="shared" si="32"/>
        <v>13092.34419196704</v>
      </c>
      <c r="BX53" s="291">
        <f t="shared" ref="BX53:BX65" si="33">SUM(BL53:BW53)</f>
        <v>193072.48304867523</v>
      </c>
      <c r="BY53" s="103"/>
    </row>
    <row r="54" spans="1:77" ht="15.75" customHeight="1">
      <c r="A54" s="92"/>
      <c r="B54" s="92"/>
      <c r="C54" s="92"/>
      <c r="D54" s="92"/>
      <c r="E54" s="92"/>
      <c r="F54" s="92"/>
      <c r="G54" s="106"/>
      <c r="H54" s="106"/>
      <c r="I54" s="92"/>
      <c r="J54" s="92" t="str">
        <f t="shared" si="18"/>
        <v>Core 3 - Red Ale</v>
      </c>
      <c r="K54" s="92"/>
      <c r="L54" s="112">
        <f t="shared" ref="L54:W54" si="34">$B17*L17</f>
        <v>2002.901142857143</v>
      </c>
      <c r="M54" s="112">
        <f t="shared" si="34"/>
        <v>2129.4285</v>
      </c>
      <c r="N54" s="112">
        <f t="shared" si="34"/>
        <v>3004.3517142857145</v>
      </c>
      <c r="O54" s="112">
        <f t="shared" si="34"/>
        <v>3553.5342857142859</v>
      </c>
      <c r="P54" s="112">
        <f t="shared" si="34"/>
        <v>4005.802285714286</v>
      </c>
      <c r="Q54" s="112">
        <f t="shared" si="34"/>
        <v>3553.5342857142859</v>
      </c>
      <c r="R54" s="112">
        <f t="shared" si="34"/>
        <v>3338.1685714285718</v>
      </c>
      <c r="S54" s="112">
        <f t="shared" si="34"/>
        <v>4172.7107142857149</v>
      </c>
      <c r="T54" s="112">
        <f t="shared" si="34"/>
        <v>4038.1071428571427</v>
      </c>
      <c r="U54" s="112">
        <f t="shared" si="34"/>
        <v>4005.802285714286</v>
      </c>
      <c r="V54" s="112">
        <f t="shared" si="34"/>
        <v>2907.437142857143</v>
      </c>
      <c r="W54" s="112">
        <f t="shared" si="34"/>
        <v>2670.5348571428576</v>
      </c>
      <c r="X54" s="291">
        <f t="shared" si="20"/>
        <v>39382.312928571431</v>
      </c>
      <c r="Y54" s="112">
        <f t="shared" si="26"/>
        <v>2303.3363142857143</v>
      </c>
      <c r="Z54" s="112">
        <f t="shared" si="26"/>
        <v>2448.8427749999996</v>
      </c>
      <c r="AA54" s="112">
        <f t="shared" si="26"/>
        <v>3455.0044714285714</v>
      </c>
      <c r="AB54" s="112">
        <f t="shared" si="26"/>
        <v>4086.5644285714288</v>
      </c>
      <c r="AC54" s="112">
        <f t="shared" si="26"/>
        <v>4606.6726285714285</v>
      </c>
      <c r="AD54" s="112">
        <f t="shared" si="26"/>
        <v>4086.5644285714288</v>
      </c>
      <c r="AE54" s="112">
        <f t="shared" si="26"/>
        <v>3838.8938571428571</v>
      </c>
      <c r="AF54" s="112">
        <f t="shared" si="26"/>
        <v>4798.6173214285718</v>
      </c>
      <c r="AG54" s="112">
        <f t="shared" si="26"/>
        <v>4643.8232142857132</v>
      </c>
      <c r="AH54" s="112">
        <f t="shared" si="26"/>
        <v>4606.6726285714285</v>
      </c>
      <c r="AI54" s="112">
        <f t="shared" si="26"/>
        <v>3343.5527142857145</v>
      </c>
      <c r="AJ54" s="112">
        <f t="shared" si="26"/>
        <v>3071.1150857142861</v>
      </c>
      <c r="AK54" s="291">
        <f t="shared" si="27"/>
        <v>45289.659867857154</v>
      </c>
      <c r="AL54" s="112">
        <f t="shared" si="28"/>
        <v>2635.0167435428571</v>
      </c>
      <c r="AM54" s="112">
        <f t="shared" si="28"/>
        <v>2801.4761346</v>
      </c>
      <c r="AN54" s="112">
        <f t="shared" si="28"/>
        <v>3952.5251153142863</v>
      </c>
      <c r="AO54" s="112">
        <f t="shared" si="28"/>
        <v>4675.0297062857153</v>
      </c>
      <c r="AP54" s="112">
        <f t="shared" si="28"/>
        <v>5270.0334870857141</v>
      </c>
      <c r="AQ54" s="112">
        <f t="shared" si="28"/>
        <v>4675.0297062857153</v>
      </c>
      <c r="AR54" s="112">
        <f t="shared" si="28"/>
        <v>4391.6945725714286</v>
      </c>
      <c r="AS54" s="112">
        <f t="shared" si="28"/>
        <v>5489.6182157142866</v>
      </c>
      <c r="AT54" s="112">
        <f t="shared" si="28"/>
        <v>5312.5337571428563</v>
      </c>
      <c r="AU54" s="112">
        <f t="shared" si="28"/>
        <v>5270.0334870857141</v>
      </c>
      <c r="AV54" s="112">
        <f t="shared" si="28"/>
        <v>3825.0243051428579</v>
      </c>
      <c r="AW54" s="112">
        <f t="shared" si="28"/>
        <v>3513.3556580571435</v>
      </c>
      <c r="AX54" s="289">
        <f t="shared" si="29"/>
        <v>51811.370888828569</v>
      </c>
      <c r="AY54" s="112">
        <f t="shared" si="30"/>
        <v>2766.7675807200003</v>
      </c>
      <c r="AZ54" s="112">
        <f t="shared" si="30"/>
        <v>2941.5499413300004</v>
      </c>
      <c r="BA54" s="112">
        <f t="shared" si="30"/>
        <v>4150.1513710800009</v>
      </c>
      <c r="BB54" s="112">
        <f t="shared" si="30"/>
        <v>4908.7811916000019</v>
      </c>
      <c r="BC54" s="112">
        <f t="shared" si="30"/>
        <v>5533.5351614400006</v>
      </c>
      <c r="BD54" s="112">
        <f t="shared" si="30"/>
        <v>4908.7811916000019</v>
      </c>
      <c r="BE54" s="112">
        <f t="shared" si="30"/>
        <v>4611.2793012000002</v>
      </c>
      <c r="BF54" s="112">
        <f t="shared" si="30"/>
        <v>5764.0991265000011</v>
      </c>
      <c r="BG54" s="112">
        <f t="shared" si="30"/>
        <v>5578.1604449999995</v>
      </c>
      <c r="BH54" s="112">
        <f t="shared" si="30"/>
        <v>5533.5351614400006</v>
      </c>
      <c r="BI54" s="112">
        <f t="shared" si="30"/>
        <v>4016.2755204000014</v>
      </c>
      <c r="BJ54" s="112">
        <f t="shared" si="30"/>
        <v>3689.0234409600012</v>
      </c>
      <c r="BK54" s="289">
        <f t="shared" si="31"/>
        <v>54401.93943327001</v>
      </c>
      <c r="BL54" s="112">
        <f t="shared" si="32"/>
        <v>3021.3101981462401</v>
      </c>
      <c r="BM54" s="112">
        <f t="shared" si="32"/>
        <v>3212.1725359323605</v>
      </c>
      <c r="BN54" s="112">
        <f t="shared" si="32"/>
        <v>4531.9652972193608</v>
      </c>
      <c r="BO54" s="112">
        <f t="shared" si="32"/>
        <v>5360.3890612272025</v>
      </c>
      <c r="BP54" s="112">
        <f t="shared" si="32"/>
        <v>6042.6203962924801</v>
      </c>
      <c r="BQ54" s="112">
        <f t="shared" si="32"/>
        <v>5360.3890612272025</v>
      </c>
      <c r="BR54" s="112">
        <f t="shared" si="32"/>
        <v>5035.5169969103999</v>
      </c>
      <c r="BS54" s="112">
        <f t="shared" si="32"/>
        <v>6294.3962461380015</v>
      </c>
      <c r="BT54" s="112">
        <f t="shared" si="32"/>
        <v>6091.35120594</v>
      </c>
      <c r="BU54" s="112">
        <f t="shared" si="32"/>
        <v>6042.6203962924801</v>
      </c>
      <c r="BV54" s="112">
        <f t="shared" si="32"/>
        <v>4385.772868276802</v>
      </c>
      <c r="BW54" s="112">
        <f t="shared" si="32"/>
        <v>4028.4135975283211</v>
      </c>
      <c r="BX54" s="291">
        <f t="shared" si="33"/>
        <v>59406.917861130845</v>
      </c>
      <c r="BY54" s="103"/>
    </row>
    <row r="55" spans="1:77" ht="15.75" customHeight="1">
      <c r="A55" s="92"/>
      <c r="B55" s="92"/>
      <c r="C55" s="92"/>
      <c r="D55" s="92"/>
      <c r="E55" s="92"/>
      <c r="F55" s="92"/>
      <c r="G55" s="106"/>
      <c r="H55" s="106"/>
      <c r="I55" s="92"/>
      <c r="J55" s="92" t="str">
        <f t="shared" si="18"/>
        <v>Core 4 - Dark (Porter?)</v>
      </c>
      <c r="K55" s="92"/>
      <c r="L55" s="112">
        <f t="shared" ref="L55:W55" si="35">$B18*L18</f>
        <v>1001.4505714285715</v>
      </c>
      <c r="M55" s="112">
        <f t="shared" si="35"/>
        <v>1064.71425</v>
      </c>
      <c r="N55" s="112">
        <f t="shared" si="35"/>
        <v>1502.1758571428572</v>
      </c>
      <c r="O55" s="112">
        <f t="shared" si="35"/>
        <v>1776.767142857143</v>
      </c>
      <c r="P55" s="112">
        <f t="shared" si="35"/>
        <v>2002.901142857143</v>
      </c>
      <c r="Q55" s="112">
        <f t="shared" si="35"/>
        <v>1776.767142857143</v>
      </c>
      <c r="R55" s="112">
        <f t="shared" si="35"/>
        <v>1669.0842857142859</v>
      </c>
      <c r="S55" s="112">
        <f t="shared" si="35"/>
        <v>2086.3553571428574</v>
      </c>
      <c r="T55" s="112">
        <f t="shared" si="35"/>
        <v>2019.0535714285713</v>
      </c>
      <c r="U55" s="112">
        <f t="shared" si="35"/>
        <v>2002.901142857143</v>
      </c>
      <c r="V55" s="112">
        <f t="shared" si="35"/>
        <v>1453.7185714285715</v>
      </c>
      <c r="W55" s="112">
        <f t="shared" si="35"/>
        <v>1335.2674285714288</v>
      </c>
      <c r="X55" s="291">
        <f t="shared" si="20"/>
        <v>19691.156464285716</v>
      </c>
      <c r="Y55" s="112">
        <f t="shared" si="26"/>
        <v>1151.6681571428571</v>
      </c>
      <c r="Z55" s="112">
        <f t="shared" si="26"/>
        <v>1224.4213874999998</v>
      </c>
      <c r="AA55" s="112">
        <f t="shared" si="26"/>
        <v>1727.5022357142857</v>
      </c>
      <c r="AB55" s="112">
        <f t="shared" si="26"/>
        <v>2043.2822142857144</v>
      </c>
      <c r="AC55" s="112">
        <f t="shared" si="26"/>
        <v>2303.3363142857143</v>
      </c>
      <c r="AD55" s="112">
        <f t="shared" si="26"/>
        <v>2043.2822142857144</v>
      </c>
      <c r="AE55" s="112">
        <f t="shared" si="26"/>
        <v>1919.4469285714285</v>
      </c>
      <c r="AF55" s="112">
        <f t="shared" si="26"/>
        <v>2399.3086607142859</v>
      </c>
      <c r="AG55" s="112">
        <f t="shared" si="26"/>
        <v>2321.9116071428566</v>
      </c>
      <c r="AH55" s="112">
        <f t="shared" si="26"/>
        <v>2303.3363142857143</v>
      </c>
      <c r="AI55" s="112">
        <f t="shared" si="26"/>
        <v>1671.7763571428573</v>
      </c>
      <c r="AJ55" s="112">
        <f t="shared" si="26"/>
        <v>1535.5575428571431</v>
      </c>
      <c r="AK55" s="291">
        <f t="shared" si="27"/>
        <v>22644.829933928577</v>
      </c>
      <c r="AL55" s="112">
        <f t="shared" si="28"/>
        <v>1317.5083717714285</v>
      </c>
      <c r="AM55" s="112">
        <f t="shared" si="28"/>
        <v>1400.7380673</v>
      </c>
      <c r="AN55" s="112">
        <f t="shared" si="28"/>
        <v>1976.2625576571431</v>
      </c>
      <c r="AO55" s="112">
        <f t="shared" si="28"/>
        <v>2337.5148531428576</v>
      </c>
      <c r="AP55" s="112">
        <f t="shared" si="28"/>
        <v>2635.0167435428571</v>
      </c>
      <c r="AQ55" s="112">
        <f t="shared" si="28"/>
        <v>2337.5148531428576</v>
      </c>
      <c r="AR55" s="112">
        <f t="shared" si="28"/>
        <v>2195.8472862857143</v>
      </c>
      <c r="AS55" s="112">
        <f t="shared" si="28"/>
        <v>2744.8091078571433</v>
      </c>
      <c r="AT55" s="112">
        <f t="shared" si="28"/>
        <v>2656.2668785714282</v>
      </c>
      <c r="AU55" s="112">
        <f t="shared" si="28"/>
        <v>2635.0167435428571</v>
      </c>
      <c r="AV55" s="112">
        <f t="shared" si="28"/>
        <v>1912.5121525714289</v>
      </c>
      <c r="AW55" s="112">
        <f t="shared" si="28"/>
        <v>1756.6778290285718</v>
      </c>
      <c r="AX55" s="289">
        <f t="shared" si="29"/>
        <v>25905.685444414285</v>
      </c>
      <c r="AY55" s="112">
        <f t="shared" si="30"/>
        <v>1383.3837903600001</v>
      </c>
      <c r="AZ55" s="112">
        <f t="shared" si="30"/>
        <v>1470.7749706650002</v>
      </c>
      <c r="BA55" s="112">
        <f t="shared" si="30"/>
        <v>2075.0756855400004</v>
      </c>
      <c r="BB55" s="112">
        <f t="shared" si="30"/>
        <v>2454.3905958000009</v>
      </c>
      <c r="BC55" s="112">
        <f t="shared" si="30"/>
        <v>2766.7675807200003</v>
      </c>
      <c r="BD55" s="112">
        <f t="shared" si="30"/>
        <v>2454.3905958000009</v>
      </c>
      <c r="BE55" s="112">
        <f t="shared" si="30"/>
        <v>2305.6396506000001</v>
      </c>
      <c r="BF55" s="112">
        <f t="shared" si="30"/>
        <v>2882.0495632500006</v>
      </c>
      <c r="BG55" s="112">
        <f t="shared" si="30"/>
        <v>2789.0802224999998</v>
      </c>
      <c r="BH55" s="112">
        <f t="shared" si="30"/>
        <v>2766.7675807200003</v>
      </c>
      <c r="BI55" s="112">
        <f t="shared" si="30"/>
        <v>2008.1377602000007</v>
      </c>
      <c r="BJ55" s="112">
        <f t="shared" si="30"/>
        <v>1844.5117204800006</v>
      </c>
      <c r="BK55" s="289">
        <f t="shared" si="31"/>
        <v>27200.969716635005</v>
      </c>
      <c r="BL55" s="112">
        <f t="shared" si="32"/>
        <v>1510.65509907312</v>
      </c>
      <c r="BM55" s="112">
        <f t="shared" si="32"/>
        <v>1606.0862679661802</v>
      </c>
      <c r="BN55" s="112">
        <f t="shared" si="32"/>
        <v>2265.9826486096804</v>
      </c>
      <c r="BO55" s="112">
        <f t="shared" si="32"/>
        <v>2680.1945306136013</v>
      </c>
      <c r="BP55" s="112">
        <f t="shared" si="32"/>
        <v>3021.3101981462401</v>
      </c>
      <c r="BQ55" s="112">
        <f t="shared" si="32"/>
        <v>2680.1945306136013</v>
      </c>
      <c r="BR55" s="112">
        <f t="shared" si="32"/>
        <v>2517.7584984552</v>
      </c>
      <c r="BS55" s="112">
        <f t="shared" si="32"/>
        <v>3147.1981230690008</v>
      </c>
      <c r="BT55" s="112">
        <f t="shared" si="32"/>
        <v>3045.67560297</v>
      </c>
      <c r="BU55" s="112">
        <f t="shared" si="32"/>
        <v>3021.3101981462401</v>
      </c>
      <c r="BV55" s="112">
        <f t="shared" si="32"/>
        <v>2192.886434138401</v>
      </c>
      <c r="BW55" s="112">
        <f t="shared" si="32"/>
        <v>2014.2067987641606</v>
      </c>
      <c r="BX55" s="291">
        <f t="shared" si="33"/>
        <v>29703.458930565423</v>
      </c>
      <c r="BY55" s="103"/>
    </row>
    <row r="56" spans="1:77" ht="15.75" customHeight="1">
      <c r="A56" s="92"/>
      <c r="B56" s="92"/>
      <c r="C56" s="92"/>
      <c r="D56" s="92"/>
      <c r="E56" s="92"/>
      <c r="F56" s="92"/>
      <c r="G56" s="106"/>
      <c r="H56" s="106"/>
      <c r="I56" s="92"/>
      <c r="J56" s="92" t="str">
        <f t="shared" si="18"/>
        <v>Rotating Sour</v>
      </c>
      <c r="K56" s="92"/>
      <c r="L56" s="112">
        <f t="shared" ref="L56:W56" si="36">$B19*L19</f>
        <v>1001.4505714285715</v>
      </c>
      <c r="M56" s="112">
        <f t="shared" si="36"/>
        <v>1064.71425</v>
      </c>
      <c r="N56" s="112">
        <f t="shared" si="36"/>
        <v>1502.1758571428572</v>
      </c>
      <c r="O56" s="112">
        <f t="shared" si="36"/>
        <v>1776.767142857143</v>
      </c>
      <c r="P56" s="112">
        <f t="shared" si="36"/>
        <v>2002.901142857143</v>
      </c>
      <c r="Q56" s="112">
        <f t="shared" si="36"/>
        <v>1776.767142857143</v>
      </c>
      <c r="R56" s="112">
        <f t="shared" si="36"/>
        <v>1669.0842857142859</v>
      </c>
      <c r="S56" s="112">
        <f t="shared" si="36"/>
        <v>2086.3553571428574</v>
      </c>
      <c r="T56" s="112">
        <f t="shared" si="36"/>
        <v>2019.0535714285713</v>
      </c>
      <c r="U56" s="112">
        <f t="shared" si="36"/>
        <v>2002.901142857143</v>
      </c>
      <c r="V56" s="112">
        <f t="shared" si="36"/>
        <v>1453.7185714285715</v>
      </c>
      <c r="W56" s="112">
        <f t="shared" si="36"/>
        <v>1335.2674285714288</v>
      </c>
      <c r="X56" s="291">
        <f t="shared" si="20"/>
        <v>19691.156464285716</v>
      </c>
      <c r="Y56" s="112">
        <f t="shared" si="26"/>
        <v>1151.6681571428571</v>
      </c>
      <c r="Z56" s="112">
        <f t="shared" si="26"/>
        <v>1224.4213874999998</v>
      </c>
      <c r="AA56" s="112">
        <f t="shared" si="26"/>
        <v>1727.5022357142857</v>
      </c>
      <c r="AB56" s="112">
        <f t="shared" si="26"/>
        <v>2043.2822142857144</v>
      </c>
      <c r="AC56" s="112">
        <f t="shared" si="26"/>
        <v>2303.3363142857143</v>
      </c>
      <c r="AD56" s="112">
        <f t="shared" si="26"/>
        <v>2043.2822142857144</v>
      </c>
      <c r="AE56" s="112">
        <f t="shared" si="26"/>
        <v>1919.4469285714285</v>
      </c>
      <c r="AF56" s="112">
        <f t="shared" si="26"/>
        <v>2399.3086607142859</v>
      </c>
      <c r="AG56" s="112">
        <f t="shared" si="26"/>
        <v>2321.9116071428566</v>
      </c>
      <c r="AH56" s="112">
        <f t="shared" si="26"/>
        <v>2303.3363142857143</v>
      </c>
      <c r="AI56" s="112">
        <f t="shared" si="26"/>
        <v>1671.7763571428573</v>
      </c>
      <c r="AJ56" s="112">
        <f t="shared" si="26"/>
        <v>1535.5575428571431</v>
      </c>
      <c r="AK56" s="291">
        <f t="shared" si="27"/>
        <v>22644.829933928577</v>
      </c>
      <c r="AL56" s="112">
        <f t="shared" si="28"/>
        <v>1317.5083717714285</v>
      </c>
      <c r="AM56" s="112">
        <f t="shared" si="28"/>
        <v>1400.7380673</v>
      </c>
      <c r="AN56" s="112">
        <f t="shared" si="28"/>
        <v>1976.2625576571431</v>
      </c>
      <c r="AO56" s="112">
        <f t="shared" si="28"/>
        <v>2337.5148531428576</v>
      </c>
      <c r="AP56" s="112">
        <f t="shared" si="28"/>
        <v>2635.0167435428571</v>
      </c>
      <c r="AQ56" s="112">
        <f t="shared" si="28"/>
        <v>2337.5148531428576</v>
      </c>
      <c r="AR56" s="112">
        <f t="shared" si="28"/>
        <v>2195.8472862857143</v>
      </c>
      <c r="AS56" s="112">
        <f t="shared" si="28"/>
        <v>2744.8091078571433</v>
      </c>
      <c r="AT56" s="112">
        <f t="shared" si="28"/>
        <v>2656.2668785714282</v>
      </c>
      <c r="AU56" s="112">
        <f t="shared" si="28"/>
        <v>2635.0167435428571</v>
      </c>
      <c r="AV56" s="112">
        <f t="shared" si="28"/>
        <v>1912.5121525714289</v>
      </c>
      <c r="AW56" s="112">
        <f t="shared" si="28"/>
        <v>1756.6778290285718</v>
      </c>
      <c r="AX56" s="289">
        <f t="shared" si="29"/>
        <v>25905.685444414285</v>
      </c>
      <c r="AY56" s="112">
        <f t="shared" si="30"/>
        <v>1383.3837903600001</v>
      </c>
      <c r="AZ56" s="112">
        <f t="shared" si="30"/>
        <v>1470.7749706650002</v>
      </c>
      <c r="BA56" s="112">
        <f t="shared" si="30"/>
        <v>2075.0756855400004</v>
      </c>
      <c r="BB56" s="112">
        <f t="shared" si="30"/>
        <v>2454.3905958000009</v>
      </c>
      <c r="BC56" s="112">
        <f t="shared" si="30"/>
        <v>2766.7675807200003</v>
      </c>
      <c r="BD56" s="112">
        <f t="shared" si="30"/>
        <v>2454.3905958000009</v>
      </c>
      <c r="BE56" s="112">
        <f t="shared" si="30"/>
        <v>2305.6396506000001</v>
      </c>
      <c r="BF56" s="112">
        <f t="shared" si="30"/>
        <v>2882.0495632500006</v>
      </c>
      <c r="BG56" s="112">
        <f t="shared" si="30"/>
        <v>2789.0802224999998</v>
      </c>
      <c r="BH56" s="112">
        <f t="shared" si="30"/>
        <v>2766.7675807200003</v>
      </c>
      <c r="BI56" s="112">
        <f t="shared" si="30"/>
        <v>2008.1377602000007</v>
      </c>
      <c r="BJ56" s="112">
        <f t="shared" si="30"/>
        <v>1844.5117204800006</v>
      </c>
      <c r="BK56" s="289">
        <f t="shared" si="31"/>
        <v>27200.969716635005</v>
      </c>
      <c r="BL56" s="112">
        <f t="shared" si="32"/>
        <v>1510.65509907312</v>
      </c>
      <c r="BM56" s="112">
        <f t="shared" si="32"/>
        <v>1606.0862679661802</v>
      </c>
      <c r="BN56" s="112">
        <f t="shared" si="32"/>
        <v>2265.9826486096804</v>
      </c>
      <c r="BO56" s="112">
        <f t="shared" si="32"/>
        <v>2680.1945306136013</v>
      </c>
      <c r="BP56" s="112">
        <f t="shared" si="32"/>
        <v>3021.3101981462401</v>
      </c>
      <c r="BQ56" s="112">
        <f t="shared" si="32"/>
        <v>2680.1945306136013</v>
      </c>
      <c r="BR56" s="112">
        <f t="shared" si="32"/>
        <v>2517.7584984552</v>
      </c>
      <c r="BS56" s="112">
        <f t="shared" si="32"/>
        <v>3147.1981230690008</v>
      </c>
      <c r="BT56" s="112">
        <f t="shared" si="32"/>
        <v>3045.67560297</v>
      </c>
      <c r="BU56" s="112">
        <f t="shared" si="32"/>
        <v>3021.3101981462401</v>
      </c>
      <c r="BV56" s="112">
        <f t="shared" si="32"/>
        <v>2192.886434138401</v>
      </c>
      <c r="BW56" s="112">
        <f t="shared" si="32"/>
        <v>2014.2067987641606</v>
      </c>
      <c r="BX56" s="291">
        <f t="shared" si="33"/>
        <v>29703.458930565423</v>
      </c>
      <c r="BY56" s="103"/>
    </row>
    <row r="57" spans="1:77" ht="15.75" customHeight="1">
      <c r="A57" s="92"/>
      <c r="B57" s="92"/>
      <c r="C57" s="92"/>
      <c r="D57" s="92"/>
      <c r="E57" s="92"/>
      <c r="F57" s="92"/>
      <c r="G57" s="106"/>
      <c r="H57" s="106"/>
      <c r="I57" s="92"/>
      <c r="J57" s="92" t="str">
        <f t="shared" si="18"/>
        <v>Seasonal #1</v>
      </c>
      <c r="K57" s="92"/>
      <c r="L57" s="112">
        <f t="shared" ref="L57:W57" si="37">$B20*L20</f>
        <v>2336.7179999999998</v>
      </c>
      <c r="M57" s="112">
        <f t="shared" si="37"/>
        <v>2484.3332499999997</v>
      </c>
      <c r="N57" s="112">
        <f t="shared" si="37"/>
        <v>3505.0770000000002</v>
      </c>
      <c r="O57" s="112">
        <f t="shared" si="37"/>
        <v>4145.7900000000009</v>
      </c>
      <c r="P57" s="112">
        <f t="shared" si="37"/>
        <v>4673.4359999999997</v>
      </c>
      <c r="Q57" s="112">
        <f t="shared" si="37"/>
        <v>4145.7900000000009</v>
      </c>
      <c r="R57" s="112">
        <f t="shared" si="37"/>
        <v>3894.5300000000007</v>
      </c>
      <c r="S57" s="112">
        <f t="shared" si="37"/>
        <v>4868.1625000000004</v>
      </c>
      <c r="T57" s="112">
        <f t="shared" si="37"/>
        <v>4711.125</v>
      </c>
      <c r="U57" s="112">
        <f t="shared" si="37"/>
        <v>4673.4359999999997</v>
      </c>
      <c r="V57" s="112">
        <f t="shared" si="37"/>
        <v>3392.01</v>
      </c>
      <c r="W57" s="112">
        <f t="shared" si="37"/>
        <v>3115.6240000000003</v>
      </c>
      <c r="X57" s="291">
        <f t="shared" si="20"/>
        <v>45946.031750000009</v>
      </c>
      <c r="Y57" s="112">
        <f t="shared" si="26"/>
        <v>2687.2257</v>
      </c>
      <c r="Z57" s="112">
        <f t="shared" si="26"/>
        <v>2856.9832374999996</v>
      </c>
      <c r="AA57" s="112">
        <f t="shared" si="26"/>
        <v>4030.8385499999999</v>
      </c>
      <c r="AB57" s="112">
        <f t="shared" si="26"/>
        <v>4767.6585000000005</v>
      </c>
      <c r="AC57" s="112">
        <f t="shared" si="26"/>
        <v>5374.4513999999999</v>
      </c>
      <c r="AD57" s="112">
        <f t="shared" si="26"/>
        <v>4767.6585000000005</v>
      </c>
      <c r="AE57" s="112">
        <f t="shared" si="26"/>
        <v>4478.7094999999999</v>
      </c>
      <c r="AF57" s="112">
        <f t="shared" si="26"/>
        <v>5598.3868750000001</v>
      </c>
      <c r="AG57" s="112">
        <f t="shared" si="26"/>
        <v>5417.7937499999989</v>
      </c>
      <c r="AH57" s="112">
        <f t="shared" si="26"/>
        <v>5374.4513999999999</v>
      </c>
      <c r="AI57" s="112">
        <f t="shared" si="26"/>
        <v>3900.8115000000003</v>
      </c>
      <c r="AJ57" s="112">
        <f t="shared" si="26"/>
        <v>3582.9676000000004</v>
      </c>
      <c r="AK57" s="291">
        <f t="shared" si="27"/>
        <v>52837.936512500004</v>
      </c>
      <c r="AL57" s="112">
        <f t="shared" si="28"/>
        <v>3074.1862008000003</v>
      </c>
      <c r="AM57" s="112">
        <f t="shared" si="28"/>
        <v>3268.3888237000001</v>
      </c>
      <c r="AN57" s="112">
        <f t="shared" si="28"/>
        <v>4611.2793012000002</v>
      </c>
      <c r="AO57" s="112">
        <f t="shared" si="28"/>
        <v>5454.2013240000015</v>
      </c>
      <c r="AP57" s="112">
        <f t="shared" si="28"/>
        <v>6148.3724016000006</v>
      </c>
      <c r="AQ57" s="112">
        <f t="shared" si="28"/>
        <v>5454.2013240000015</v>
      </c>
      <c r="AR57" s="112">
        <f t="shared" si="28"/>
        <v>5123.6436679999997</v>
      </c>
      <c r="AS57" s="112">
        <f t="shared" si="28"/>
        <v>6404.5545850000008</v>
      </c>
      <c r="AT57" s="112">
        <f t="shared" si="28"/>
        <v>6197.9560499999998</v>
      </c>
      <c r="AU57" s="112">
        <f t="shared" si="28"/>
        <v>6148.3724016000006</v>
      </c>
      <c r="AV57" s="112">
        <f t="shared" si="28"/>
        <v>4462.5283560000007</v>
      </c>
      <c r="AW57" s="112">
        <f t="shared" si="28"/>
        <v>4098.9149344000007</v>
      </c>
      <c r="AX57" s="289">
        <f t="shared" si="29"/>
        <v>60446.599370300006</v>
      </c>
      <c r="AY57" s="112">
        <f t="shared" si="30"/>
        <v>3227.89551084</v>
      </c>
      <c r="AZ57" s="112">
        <f t="shared" si="30"/>
        <v>3431.8082648850004</v>
      </c>
      <c r="BA57" s="112">
        <f t="shared" si="30"/>
        <v>4841.8432662600007</v>
      </c>
      <c r="BB57" s="112">
        <f t="shared" si="30"/>
        <v>5726.9113902000017</v>
      </c>
      <c r="BC57" s="112">
        <f t="shared" si="30"/>
        <v>6455.7910216800001</v>
      </c>
      <c r="BD57" s="112">
        <f t="shared" si="30"/>
        <v>5726.9113902000017</v>
      </c>
      <c r="BE57" s="112">
        <f t="shared" si="30"/>
        <v>5379.8258513999999</v>
      </c>
      <c r="BF57" s="112">
        <f t="shared" si="30"/>
        <v>6724.782314250001</v>
      </c>
      <c r="BG57" s="112">
        <f t="shared" si="30"/>
        <v>6507.8538524999994</v>
      </c>
      <c r="BH57" s="112">
        <f t="shared" si="30"/>
        <v>6455.7910216800001</v>
      </c>
      <c r="BI57" s="112">
        <f t="shared" si="30"/>
        <v>4685.6547738000017</v>
      </c>
      <c r="BJ57" s="112">
        <f t="shared" si="30"/>
        <v>4303.8606811200007</v>
      </c>
      <c r="BK57" s="289">
        <f t="shared" si="31"/>
        <v>63468.929338815004</v>
      </c>
      <c r="BL57" s="112">
        <f t="shared" si="32"/>
        <v>3524.8618978372801</v>
      </c>
      <c r="BM57" s="112">
        <f t="shared" si="32"/>
        <v>3747.5346252544205</v>
      </c>
      <c r="BN57" s="112">
        <f t="shared" si="32"/>
        <v>5287.2928467559213</v>
      </c>
      <c r="BO57" s="112">
        <f t="shared" si="32"/>
        <v>6253.7872380984027</v>
      </c>
      <c r="BP57" s="112">
        <f t="shared" si="32"/>
        <v>7049.7237956745603</v>
      </c>
      <c r="BQ57" s="112">
        <f t="shared" si="32"/>
        <v>6253.7872380984027</v>
      </c>
      <c r="BR57" s="112">
        <f t="shared" si="32"/>
        <v>5874.7698297287998</v>
      </c>
      <c r="BS57" s="112">
        <f t="shared" si="32"/>
        <v>7343.4622871610009</v>
      </c>
      <c r="BT57" s="112">
        <f t="shared" si="32"/>
        <v>7106.5764069299994</v>
      </c>
      <c r="BU57" s="112">
        <f t="shared" si="32"/>
        <v>7049.7237956745603</v>
      </c>
      <c r="BV57" s="112">
        <f t="shared" si="32"/>
        <v>5116.7350129896022</v>
      </c>
      <c r="BW57" s="112">
        <f t="shared" si="32"/>
        <v>4699.8158637830411</v>
      </c>
      <c r="BX57" s="291">
        <f t="shared" si="33"/>
        <v>69308.070837985986</v>
      </c>
      <c r="BY57" s="103"/>
    </row>
    <row r="58" spans="1:77" ht="15.75" customHeight="1">
      <c r="A58" s="92"/>
      <c r="B58" s="92"/>
      <c r="C58" s="92"/>
      <c r="D58" s="92"/>
      <c r="E58" s="92"/>
      <c r="F58" s="92"/>
      <c r="G58" s="106"/>
      <c r="H58" s="106"/>
      <c r="I58" s="92"/>
      <c r="J58" s="92" t="str">
        <f t="shared" si="18"/>
        <v>Seasonal #2</v>
      </c>
      <c r="K58" s="92"/>
      <c r="L58" s="112">
        <f t="shared" ref="L58:W58" si="38">$B21*L21</f>
        <v>1168.3589999999999</v>
      </c>
      <c r="M58" s="112">
        <f t="shared" si="38"/>
        <v>1242.1666249999998</v>
      </c>
      <c r="N58" s="112">
        <f t="shared" si="38"/>
        <v>1752.5385000000001</v>
      </c>
      <c r="O58" s="112">
        <f t="shared" si="38"/>
        <v>2072.8950000000004</v>
      </c>
      <c r="P58" s="112">
        <f t="shared" si="38"/>
        <v>2336.7179999999998</v>
      </c>
      <c r="Q58" s="112">
        <f t="shared" si="38"/>
        <v>2072.8950000000004</v>
      </c>
      <c r="R58" s="112">
        <f t="shared" si="38"/>
        <v>1947.2650000000003</v>
      </c>
      <c r="S58" s="112">
        <f t="shared" si="38"/>
        <v>2434.0812500000002</v>
      </c>
      <c r="T58" s="112">
        <f t="shared" si="38"/>
        <v>2355.5625</v>
      </c>
      <c r="U58" s="112">
        <f t="shared" si="38"/>
        <v>2336.7179999999998</v>
      </c>
      <c r="V58" s="112">
        <f t="shared" si="38"/>
        <v>1696.0050000000001</v>
      </c>
      <c r="W58" s="112">
        <f t="shared" si="38"/>
        <v>1557.8120000000001</v>
      </c>
      <c r="X58" s="291">
        <f t="shared" si="20"/>
        <v>22973.015875000005</v>
      </c>
      <c r="Y58" s="112">
        <f t="shared" si="26"/>
        <v>1343.61285</v>
      </c>
      <c r="Z58" s="112">
        <f t="shared" si="26"/>
        <v>1428.4916187499998</v>
      </c>
      <c r="AA58" s="112">
        <f t="shared" si="26"/>
        <v>2015.419275</v>
      </c>
      <c r="AB58" s="112">
        <f t="shared" si="26"/>
        <v>2383.8292500000002</v>
      </c>
      <c r="AC58" s="112">
        <f t="shared" si="26"/>
        <v>2687.2257</v>
      </c>
      <c r="AD58" s="112">
        <f t="shared" si="26"/>
        <v>2383.8292500000002</v>
      </c>
      <c r="AE58" s="112">
        <f t="shared" si="26"/>
        <v>2239.35475</v>
      </c>
      <c r="AF58" s="112">
        <f t="shared" si="26"/>
        <v>2799.1934375000001</v>
      </c>
      <c r="AG58" s="112">
        <f t="shared" si="26"/>
        <v>2708.8968749999995</v>
      </c>
      <c r="AH58" s="112">
        <f t="shared" si="26"/>
        <v>2687.2257</v>
      </c>
      <c r="AI58" s="112">
        <f t="shared" si="26"/>
        <v>1950.4057500000001</v>
      </c>
      <c r="AJ58" s="112">
        <f t="shared" si="26"/>
        <v>1791.4838000000002</v>
      </c>
      <c r="AK58" s="291">
        <f t="shared" si="27"/>
        <v>26418.968256250002</v>
      </c>
      <c r="AL58" s="112">
        <f t="shared" si="28"/>
        <v>1537.0931004000001</v>
      </c>
      <c r="AM58" s="112">
        <f t="shared" si="28"/>
        <v>1634.1944118500001</v>
      </c>
      <c r="AN58" s="112">
        <f t="shared" si="28"/>
        <v>2305.6396506000001</v>
      </c>
      <c r="AO58" s="112">
        <f t="shared" si="28"/>
        <v>2727.1006620000007</v>
      </c>
      <c r="AP58" s="112">
        <f t="shared" si="28"/>
        <v>3074.1862008000003</v>
      </c>
      <c r="AQ58" s="112">
        <f t="shared" si="28"/>
        <v>2727.1006620000007</v>
      </c>
      <c r="AR58" s="112">
        <f t="shared" si="28"/>
        <v>2561.8218339999999</v>
      </c>
      <c r="AS58" s="112">
        <f t="shared" si="28"/>
        <v>3202.2772925000004</v>
      </c>
      <c r="AT58" s="112">
        <f t="shared" si="28"/>
        <v>3098.9780249999999</v>
      </c>
      <c r="AU58" s="112">
        <f t="shared" si="28"/>
        <v>3074.1862008000003</v>
      </c>
      <c r="AV58" s="112">
        <f t="shared" si="28"/>
        <v>2231.2641780000004</v>
      </c>
      <c r="AW58" s="112">
        <f t="shared" si="28"/>
        <v>2049.4574672000003</v>
      </c>
      <c r="AX58" s="289">
        <f t="shared" si="29"/>
        <v>30223.299685150003</v>
      </c>
      <c r="AY58" s="112">
        <f t="shared" si="30"/>
        <v>1613.94775542</v>
      </c>
      <c r="AZ58" s="112">
        <f t="shared" si="30"/>
        <v>1715.9041324425002</v>
      </c>
      <c r="BA58" s="112">
        <f t="shared" si="30"/>
        <v>2420.9216331300004</v>
      </c>
      <c r="BB58" s="112">
        <f t="shared" si="30"/>
        <v>2863.4556951000009</v>
      </c>
      <c r="BC58" s="112">
        <f t="shared" si="30"/>
        <v>3227.89551084</v>
      </c>
      <c r="BD58" s="112">
        <f t="shared" si="30"/>
        <v>2863.4556951000009</v>
      </c>
      <c r="BE58" s="112">
        <f t="shared" si="30"/>
        <v>2689.9129257</v>
      </c>
      <c r="BF58" s="112">
        <f t="shared" si="30"/>
        <v>3362.3911571250005</v>
      </c>
      <c r="BG58" s="112">
        <f t="shared" si="30"/>
        <v>3253.9269262499997</v>
      </c>
      <c r="BH58" s="112">
        <f t="shared" si="30"/>
        <v>3227.89551084</v>
      </c>
      <c r="BI58" s="112">
        <f t="shared" si="30"/>
        <v>2342.8273869000009</v>
      </c>
      <c r="BJ58" s="112">
        <f t="shared" si="30"/>
        <v>2151.9303405600003</v>
      </c>
      <c r="BK58" s="289">
        <f t="shared" si="31"/>
        <v>31734.464669407502</v>
      </c>
      <c r="BL58" s="112">
        <f t="shared" si="32"/>
        <v>1762.4309489186401</v>
      </c>
      <c r="BM58" s="112">
        <f t="shared" si="32"/>
        <v>1873.7673126272102</v>
      </c>
      <c r="BN58" s="112">
        <f t="shared" si="32"/>
        <v>2643.6464233779607</v>
      </c>
      <c r="BO58" s="112">
        <f t="shared" si="32"/>
        <v>3126.8936190492013</v>
      </c>
      <c r="BP58" s="112">
        <f t="shared" si="32"/>
        <v>3524.8618978372801</v>
      </c>
      <c r="BQ58" s="112">
        <f t="shared" si="32"/>
        <v>3126.8936190492013</v>
      </c>
      <c r="BR58" s="112">
        <f t="shared" si="32"/>
        <v>2937.3849148643999</v>
      </c>
      <c r="BS58" s="112">
        <f t="shared" si="32"/>
        <v>3671.7311435805004</v>
      </c>
      <c r="BT58" s="112">
        <f t="shared" si="32"/>
        <v>3553.2882034649997</v>
      </c>
      <c r="BU58" s="112">
        <f t="shared" si="32"/>
        <v>3524.8618978372801</v>
      </c>
      <c r="BV58" s="112">
        <f t="shared" si="32"/>
        <v>2558.3675064948011</v>
      </c>
      <c r="BW58" s="112">
        <f t="shared" si="32"/>
        <v>2349.9079318915205</v>
      </c>
      <c r="BX58" s="291">
        <f t="shared" si="33"/>
        <v>34654.035418992993</v>
      </c>
      <c r="BY58" s="103"/>
    </row>
    <row r="59" spans="1:77" ht="15.75" customHeight="1">
      <c r="A59" s="92"/>
      <c r="B59" s="92"/>
      <c r="C59" s="92"/>
      <c r="D59" s="92"/>
      <c r="E59" s="92"/>
      <c r="F59" s="92"/>
      <c r="G59" s="106"/>
      <c r="H59" s="106"/>
      <c r="I59" s="92"/>
      <c r="J59" s="92" t="str">
        <f t="shared" si="18"/>
        <v>Rotating IPA #1</v>
      </c>
      <c r="K59" s="92"/>
      <c r="L59" s="112">
        <f t="shared" ref="L59:W59" si="39">$B22*L22</f>
        <v>1168.3589999999999</v>
      </c>
      <c r="M59" s="112">
        <f t="shared" si="39"/>
        <v>1242.1666249999998</v>
      </c>
      <c r="N59" s="112">
        <f t="shared" si="39"/>
        <v>1752.5385000000001</v>
      </c>
      <c r="O59" s="112">
        <f t="shared" si="39"/>
        <v>2072.8950000000004</v>
      </c>
      <c r="P59" s="112">
        <f t="shared" si="39"/>
        <v>2336.7179999999998</v>
      </c>
      <c r="Q59" s="112">
        <f t="shared" si="39"/>
        <v>2072.8950000000004</v>
      </c>
      <c r="R59" s="112">
        <f t="shared" si="39"/>
        <v>1947.2650000000003</v>
      </c>
      <c r="S59" s="112">
        <f t="shared" si="39"/>
        <v>2434.0812500000002</v>
      </c>
      <c r="T59" s="112">
        <f t="shared" si="39"/>
        <v>2355.5625</v>
      </c>
      <c r="U59" s="112">
        <f t="shared" si="39"/>
        <v>2336.7179999999998</v>
      </c>
      <c r="V59" s="112">
        <f t="shared" si="39"/>
        <v>1696.0050000000001</v>
      </c>
      <c r="W59" s="112">
        <f t="shared" si="39"/>
        <v>1557.8120000000001</v>
      </c>
      <c r="X59" s="291">
        <f t="shared" si="20"/>
        <v>22973.015875000005</v>
      </c>
      <c r="Y59" s="112">
        <f t="shared" si="26"/>
        <v>1343.61285</v>
      </c>
      <c r="Z59" s="112">
        <f t="shared" si="26"/>
        <v>1428.4916187499998</v>
      </c>
      <c r="AA59" s="112">
        <f t="shared" si="26"/>
        <v>2015.419275</v>
      </c>
      <c r="AB59" s="112">
        <f t="shared" si="26"/>
        <v>2383.8292500000002</v>
      </c>
      <c r="AC59" s="112">
        <f t="shared" si="26"/>
        <v>2687.2257</v>
      </c>
      <c r="AD59" s="112">
        <f t="shared" si="26"/>
        <v>2383.8292500000002</v>
      </c>
      <c r="AE59" s="112">
        <f t="shared" si="26"/>
        <v>2239.35475</v>
      </c>
      <c r="AF59" s="112">
        <f t="shared" si="26"/>
        <v>2799.1934375000001</v>
      </c>
      <c r="AG59" s="112">
        <f t="shared" si="26"/>
        <v>2708.8968749999995</v>
      </c>
      <c r="AH59" s="112">
        <f t="shared" si="26"/>
        <v>2687.2257</v>
      </c>
      <c r="AI59" s="112">
        <f t="shared" si="26"/>
        <v>1950.4057500000001</v>
      </c>
      <c r="AJ59" s="112">
        <f t="shared" si="26"/>
        <v>1791.4838000000002</v>
      </c>
      <c r="AK59" s="291">
        <f t="shared" si="27"/>
        <v>26418.968256250002</v>
      </c>
      <c r="AL59" s="112">
        <f t="shared" si="28"/>
        <v>1537.0931004000001</v>
      </c>
      <c r="AM59" s="112">
        <f t="shared" si="28"/>
        <v>1634.1944118500001</v>
      </c>
      <c r="AN59" s="112">
        <f t="shared" si="28"/>
        <v>2305.6396506000001</v>
      </c>
      <c r="AO59" s="112">
        <f t="shared" si="28"/>
        <v>2727.1006620000007</v>
      </c>
      <c r="AP59" s="112">
        <f t="shared" si="28"/>
        <v>3074.1862008000003</v>
      </c>
      <c r="AQ59" s="112">
        <f t="shared" si="28"/>
        <v>2727.1006620000007</v>
      </c>
      <c r="AR59" s="112">
        <f t="shared" si="28"/>
        <v>2561.8218339999999</v>
      </c>
      <c r="AS59" s="112">
        <f t="shared" si="28"/>
        <v>3202.2772925000004</v>
      </c>
      <c r="AT59" s="112">
        <f t="shared" si="28"/>
        <v>3098.9780249999999</v>
      </c>
      <c r="AU59" s="112">
        <f t="shared" si="28"/>
        <v>3074.1862008000003</v>
      </c>
      <c r="AV59" s="112">
        <f t="shared" si="28"/>
        <v>2231.2641780000004</v>
      </c>
      <c r="AW59" s="112">
        <f t="shared" si="28"/>
        <v>2049.4574672000003</v>
      </c>
      <c r="AX59" s="289">
        <f t="shared" si="29"/>
        <v>30223.299685150003</v>
      </c>
      <c r="AY59" s="112">
        <f t="shared" si="30"/>
        <v>1613.94775542</v>
      </c>
      <c r="AZ59" s="112">
        <f t="shared" si="30"/>
        <v>1715.9041324425002</v>
      </c>
      <c r="BA59" s="112">
        <f t="shared" si="30"/>
        <v>2420.9216331300004</v>
      </c>
      <c r="BB59" s="112">
        <f t="shared" si="30"/>
        <v>2863.4556951000009</v>
      </c>
      <c r="BC59" s="112">
        <f t="shared" si="30"/>
        <v>3227.89551084</v>
      </c>
      <c r="BD59" s="112">
        <f t="shared" si="30"/>
        <v>2863.4556951000009</v>
      </c>
      <c r="BE59" s="112">
        <f t="shared" si="30"/>
        <v>2689.9129257</v>
      </c>
      <c r="BF59" s="112">
        <f t="shared" si="30"/>
        <v>3362.3911571250005</v>
      </c>
      <c r="BG59" s="112">
        <f t="shared" si="30"/>
        <v>3253.9269262499997</v>
      </c>
      <c r="BH59" s="112">
        <f t="shared" si="30"/>
        <v>3227.89551084</v>
      </c>
      <c r="BI59" s="112">
        <f t="shared" si="30"/>
        <v>2342.8273869000009</v>
      </c>
      <c r="BJ59" s="112">
        <f t="shared" si="30"/>
        <v>2151.9303405600003</v>
      </c>
      <c r="BK59" s="289">
        <f t="shared" si="31"/>
        <v>31734.464669407502</v>
      </c>
      <c r="BL59" s="112">
        <f t="shared" si="32"/>
        <v>1762.4309489186401</v>
      </c>
      <c r="BM59" s="112">
        <f t="shared" si="32"/>
        <v>1873.7673126272102</v>
      </c>
      <c r="BN59" s="112">
        <f t="shared" si="32"/>
        <v>2643.6464233779607</v>
      </c>
      <c r="BO59" s="112">
        <f t="shared" si="32"/>
        <v>3126.8936190492013</v>
      </c>
      <c r="BP59" s="112">
        <f t="shared" si="32"/>
        <v>3524.8618978372801</v>
      </c>
      <c r="BQ59" s="112">
        <f t="shared" si="32"/>
        <v>3126.8936190492013</v>
      </c>
      <c r="BR59" s="112">
        <f t="shared" si="32"/>
        <v>2937.3849148643999</v>
      </c>
      <c r="BS59" s="112">
        <f t="shared" si="32"/>
        <v>3671.7311435805004</v>
      </c>
      <c r="BT59" s="112">
        <f t="shared" si="32"/>
        <v>3553.2882034649997</v>
      </c>
      <c r="BU59" s="112">
        <f t="shared" si="32"/>
        <v>3524.8618978372801</v>
      </c>
      <c r="BV59" s="112">
        <f t="shared" si="32"/>
        <v>2558.3675064948011</v>
      </c>
      <c r="BW59" s="112">
        <f t="shared" si="32"/>
        <v>2349.9079318915205</v>
      </c>
      <c r="BX59" s="291">
        <f t="shared" si="33"/>
        <v>34654.035418992993</v>
      </c>
      <c r="BY59" s="103"/>
    </row>
    <row r="60" spans="1:77" ht="15.75" customHeight="1">
      <c r="A60" s="92"/>
      <c r="B60" s="92"/>
      <c r="C60" s="92"/>
      <c r="D60" s="92"/>
      <c r="E60" s="92"/>
      <c r="F60" s="92"/>
      <c r="G60" s="106"/>
      <c r="H60" s="106"/>
      <c r="I60" s="92"/>
      <c r="J60" s="92" t="str">
        <f t="shared" si="18"/>
        <v>Rotating IPA #2</v>
      </c>
      <c r="K60" s="92"/>
      <c r="L60" s="112">
        <f t="shared" ref="L60:W60" si="40">$B23*L23</f>
        <v>1752.5384999999999</v>
      </c>
      <c r="M60" s="112">
        <f t="shared" si="40"/>
        <v>1863.2499374999995</v>
      </c>
      <c r="N60" s="112">
        <f t="shared" si="40"/>
        <v>2628.8077499999999</v>
      </c>
      <c r="O60" s="112">
        <f t="shared" si="40"/>
        <v>3109.3424999999997</v>
      </c>
      <c r="P60" s="112">
        <f t="shared" si="40"/>
        <v>3505.0769999999998</v>
      </c>
      <c r="Q60" s="112">
        <f t="shared" si="40"/>
        <v>3109.3424999999997</v>
      </c>
      <c r="R60" s="112">
        <f t="shared" si="40"/>
        <v>2920.8975</v>
      </c>
      <c r="S60" s="112">
        <f t="shared" si="40"/>
        <v>3651.1218749999998</v>
      </c>
      <c r="T60" s="112">
        <f t="shared" si="40"/>
        <v>3533.3437499999995</v>
      </c>
      <c r="U60" s="112">
        <f t="shared" si="40"/>
        <v>3505.0769999999998</v>
      </c>
      <c r="V60" s="112">
        <f t="shared" si="40"/>
        <v>2544.0075000000002</v>
      </c>
      <c r="W60" s="112">
        <f t="shared" si="40"/>
        <v>2336.7179999999998</v>
      </c>
      <c r="X60" s="291">
        <f t="shared" si="20"/>
        <v>34459.523812499996</v>
      </c>
      <c r="Y60" s="112">
        <f t="shared" si="26"/>
        <v>2015.4192749999995</v>
      </c>
      <c r="Z60" s="112">
        <f t="shared" si="26"/>
        <v>2142.7374281249995</v>
      </c>
      <c r="AA60" s="112">
        <f t="shared" si="26"/>
        <v>3023.1289124999998</v>
      </c>
      <c r="AB60" s="112">
        <f t="shared" si="26"/>
        <v>3575.7438749999992</v>
      </c>
      <c r="AC60" s="112">
        <f t="shared" si="26"/>
        <v>4030.838549999999</v>
      </c>
      <c r="AD60" s="112">
        <f t="shared" si="26"/>
        <v>3575.7438749999992</v>
      </c>
      <c r="AE60" s="112">
        <f t="shared" si="26"/>
        <v>3359.0321249999997</v>
      </c>
      <c r="AF60" s="112">
        <f t="shared" si="26"/>
        <v>4198.7901562499992</v>
      </c>
      <c r="AG60" s="112">
        <f t="shared" si="26"/>
        <v>4063.3453124999992</v>
      </c>
      <c r="AH60" s="112">
        <f t="shared" si="26"/>
        <v>4030.838549999999</v>
      </c>
      <c r="AI60" s="112">
        <f t="shared" si="26"/>
        <v>2925.6086249999998</v>
      </c>
      <c r="AJ60" s="112">
        <f t="shared" si="26"/>
        <v>2687.2257</v>
      </c>
      <c r="AK60" s="291">
        <f t="shared" si="27"/>
        <v>39628.452384374992</v>
      </c>
      <c r="AL60" s="112">
        <f t="shared" si="28"/>
        <v>2305.6396505999996</v>
      </c>
      <c r="AM60" s="112">
        <f t="shared" si="28"/>
        <v>2451.2916177749994</v>
      </c>
      <c r="AN60" s="112">
        <f t="shared" si="28"/>
        <v>3458.4594759000001</v>
      </c>
      <c r="AO60" s="112">
        <f t="shared" si="28"/>
        <v>4090.6509929999993</v>
      </c>
      <c r="AP60" s="112">
        <f t="shared" si="28"/>
        <v>4611.2793011999993</v>
      </c>
      <c r="AQ60" s="112">
        <f t="shared" si="28"/>
        <v>4090.6509929999993</v>
      </c>
      <c r="AR60" s="112">
        <f t="shared" si="28"/>
        <v>3842.732751</v>
      </c>
      <c r="AS60" s="112">
        <f t="shared" si="28"/>
        <v>4803.4159387499994</v>
      </c>
      <c r="AT60" s="112">
        <f t="shared" si="28"/>
        <v>4648.4670374999996</v>
      </c>
      <c r="AU60" s="112">
        <f t="shared" si="28"/>
        <v>4611.2793011999993</v>
      </c>
      <c r="AV60" s="112">
        <f t="shared" si="28"/>
        <v>3346.8962670000001</v>
      </c>
      <c r="AW60" s="112">
        <f t="shared" si="28"/>
        <v>3074.1862008000003</v>
      </c>
      <c r="AX60" s="289">
        <f t="shared" si="29"/>
        <v>45334.949527724995</v>
      </c>
      <c r="AY60" s="112">
        <f t="shared" si="30"/>
        <v>2420.9216331299999</v>
      </c>
      <c r="AZ60" s="112">
        <f t="shared" si="30"/>
        <v>2573.8561986637496</v>
      </c>
      <c r="BA60" s="112">
        <f t="shared" si="30"/>
        <v>3631.3824496950006</v>
      </c>
      <c r="BB60" s="112">
        <f t="shared" si="30"/>
        <v>4295.1835426499993</v>
      </c>
      <c r="BC60" s="112">
        <f t="shared" si="30"/>
        <v>4841.8432662599998</v>
      </c>
      <c r="BD60" s="112">
        <f t="shared" si="30"/>
        <v>4295.1835426499993</v>
      </c>
      <c r="BE60" s="112">
        <f t="shared" si="30"/>
        <v>4034.8693885500002</v>
      </c>
      <c r="BF60" s="112">
        <f t="shared" si="30"/>
        <v>5043.5867356874996</v>
      </c>
      <c r="BG60" s="112">
        <f t="shared" si="30"/>
        <v>4880.8903893750003</v>
      </c>
      <c r="BH60" s="112">
        <f t="shared" si="30"/>
        <v>4841.8432662599998</v>
      </c>
      <c r="BI60" s="112">
        <f t="shared" si="30"/>
        <v>3514.2410803500002</v>
      </c>
      <c r="BJ60" s="112">
        <f t="shared" si="30"/>
        <v>3227.89551084</v>
      </c>
      <c r="BK60" s="289">
        <f t="shared" si="31"/>
        <v>47601.697004111251</v>
      </c>
      <c r="BL60" s="112">
        <f t="shared" si="32"/>
        <v>2643.6464233779602</v>
      </c>
      <c r="BM60" s="112">
        <f t="shared" si="32"/>
        <v>2810.6509689408144</v>
      </c>
      <c r="BN60" s="112">
        <f t="shared" si="32"/>
        <v>3965.4696350669406</v>
      </c>
      <c r="BO60" s="112">
        <f t="shared" si="32"/>
        <v>4690.3404285737997</v>
      </c>
      <c r="BP60" s="112">
        <f t="shared" si="32"/>
        <v>5287.2928467559204</v>
      </c>
      <c r="BQ60" s="112">
        <f t="shared" si="32"/>
        <v>4690.3404285737997</v>
      </c>
      <c r="BR60" s="112">
        <f t="shared" si="32"/>
        <v>4406.0773722966005</v>
      </c>
      <c r="BS60" s="112">
        <f t="shared" si="32"/>
        <v>5507.5967153707497</v>
      </c>
      <c r="BT60" s="112">
        <f t="shared" si="32"/>
        <v>5329.9323051975007</v>
      </c>
      <c r="BU60" s="112">
        <f t="shared" si="32"/>
        <v>5287.2928467559204</v>
      </c>
      <c r="BV60" s="112">
        <f t="shared" si="32"/>
        <v>3837.5512597422003</v>
      </c>
      <c r="BW60" s="112">
        <f t="shared" si="32"/>
        <v>3524.8618978372801</v>
      </c>
      <c r="BX60" s="291">
        <f t="shared" si="33"/>
        <v>51981.05312848949</v>
      </c>
      <c r="BY60" s="103"/>
    </row>
    <row r="61" spans="1:77" ht="15.75" customHeight="1">
      <c r="A61" s="92"/>
      <c r="B61" s="92"/>
      <c r="C61" s="92"/>
      <c r="D61" s="92"/>
      <c r="E61" s="92"/>
      <c r="F61" s="92"/>
      <c r="G61" s="106"/>
      <c r="H61" s="106"/>
      <c r="I61" s="92"/>
      <c r="J61" s="92" t="str">
        <f t="shared" si="18"/>
        <v>Special release</v>
      </c>
      <c r="K61" s="92"/>
      <c r="L61" s="112">
        <f t="shared" ref="L61:W61" si="41">$B24*L24</f>
        <v>751.08792857142862</v>
      </c>
      <c r="M61" s="112">
        <f t="shared" si="41"/>
        <v>798.53568749999999</v>
      </c>
      <c r="N61" s="112">
        <f t="shared" si="41"/>
        <v>1126.6318928571429</v>
      </c>
      <c r="O61" s="112">
        <f t="shared" si="41"/>
        <v>1332.5753571428572</v>
      </c>
      <c r="P61" s="112">
        <f t="shared" si="41"/>
        <v>1502.1758571428572</v>
      </c>
      <c r="Q61" s="112">
        <f t="shared" si="41"/>
        <v>1332.5753571428572</v>
      </c>
      <c r="R61" s="112">
        <f t="shared" si="41"/>
        <v>1251.8132142857144</v>
      </c>
      <c r="S61" s="112">
        <f t="shared" si="41"/>
        <v>1564.7665178571428</v>
      </c>
      <c r="T61" s="112">
        <f t="shared" si="41"/>
        <v>1514.2901785714284</v>
      </c>
      <c r="U61" s="112">
        <f t="shared" si="41"/>
        <v>1502.1758571428572</v>
      </c>
      <c r="V61" s="112">
        <f t="shared" si="41"/>
        <v>1090.2889285714286</v>
      </c>
      <c r="W61" s="112">
        <f t="shared" si="41"/>
        <v>1001.4505714285716</v>
      </c>
      <c r="X61" s="291">
        <f t="shared" si="20"/>
        <v>14768.367348214288</v>
      </c>
      <c r="Y61" s="112">
        <f t="shared" si="26"/>
        <v>863.75111785714284</v>
      </c>
      <c r="Z61" s="112">
        <f t="shared" si="26"/>
        <v>918.31604062499991</v>
      </c>
      <c r="AA61" s="112">
        <f t="shared" si="26"/>
        <v>1295.6266767857142</v>
      </c>
      <c r="AB61" s="112">
        <f t="shared" si="26"/>
        <v>1532.4616607142859</v>
      </c>
      <c r="AC61" s="112">
        <f t="shared" si="26"/>
        <v>1727.5022357142857</v>
      </c>
      <c r="AD61" s="112">
        <f t="shared" si="26"/>
        <v>1532.4616607142859</v>
      </c>
      <c r="AE61" s="112">
        <f t="shared" si="26"/>
        <v>1439.5851964285714</v>
      </c>
      <c r="AF61" s="112">
        <f t="shared" si="26"/>
        <v>1799.4814955357142</v>
      </c>
      <c r="AG61" s="112">
        <f t="shared" si="26"/>
        <v>1741.4337053571426</v>
      </c>
      <c r="AH61" s="112">
        <f t="shared" si="26"/>
        <v>1727.5022357142857</v>
      </c>
      <c r="AI61" s="112">
        <f t="shared" si="26"/>
        <v>1253.8322678571431</v>
      </c>
      <c r="AJ61" s="112">
        <f t="shared" si="26"/>
        <v>1151.6681571428574</v>
      </c>
      <c r="AK61" s="291">
        <f t="shared" si="27"/>
        <v>16983.62245044643</v>
      </c>
      <c r="AL61" s="112">
        <f t="shared" si="28"/>
        <v>988.13127882857134</v>
      </c>
      <c r="AM61" s="112">
        <f t="shared" si="28"/>
        <v>1050.5535504749998</v>
      </c>
      <c r="AN61" s="112">
        <f t="shared" si="28"/>
        <v>1482.1969182428572</v>
      </c>
      <c r="AO61" s="112">
        <f t="shared" si="28"/>
        <v>1753.136139857143</v>
      </c>
      <c r="AP61" s="112">
        <f t="shared" si="28"/>
        <v>1976.2625576571427</v>
      </c>
      <c r="AQ61" s="112">
        <f t="shared" si="28"/>
        <v>1753.136139857143</v>
      </c>
      <c r="AR61" s="112">
        <f t="shared" si="28"/>
        <v>1646.8854647142855</v>
      </c>
      <c r="AS61" s="112">
        <f t="shared" si="28"/>
        <v>2058.606830892857</v>
      </c>
      <c r="AT61" s="112">
        <f t="shared" si="28"/>
        <v>1992.200158928571</v>
      </c>
      <c r="AU61" s="112">
        <f t="shared" si="28"/>
        <v>1976.2625576571427</v>
      </c>
      <c r="AV61" s="112">
        <f t="shared" si="28"/>
        <v>1434.3841144285716</v>
      </c>
      <c r="AW61" s="112">
        <f t="shared" si="28"/>
        <v>1317.5083717714288</v>
      </c>
      <c r="AX61" s="289">
        <f t="shared" si="29"/>
        <v>19429.264083310718</v>
      </c>
      <c r="AY61" s="112">
        <f t="shared" si="30"/>
        <v>1037.53784277</v>
      </c>
      <c r="AZ61" s="112">
        <f t="shared" si="30"/>
        <v>1103.0812279987499</v>
      </c>
      <c r="BA61" s="112">
        <f t="shared" si="30"/>
        <v>1556.3067641550001</v>
      </c>
      <c r="BB61" s="112">
        <f t="shared" si="30"/>
        <v>1840.7929468500004</v>
      </c>
      <c r="BC61" s="112">
        <f t="shared" si="30"/>
        <v>2075.07568554</v>
      </c>
      <c r="BD61" s="112">
        <f t="shared" si="30"/>
        <v>1840.7929468500004</v>
      </c>
      <c r="BE61" s="112">
        <f t="shared" si="30"/>
        <v>1729.2297379499998</v>
      </c>
      <c r="BF61" s="112">
        <f t="shared" si="30"/>
        <v>2161.5371724375</v>
      </c>
      <c r="BG61" s="112">
        <f t="shared" si="30"/>
        <v>2091.8101668749996</v>
      </c>
      <c r="BH61" s="112">
        <f t="shared" si="30"/>
        <v>2075.07568554</v>
      </c>
      <c r="BI61" s="112">
        <f t="shared" si="30"/>
        <v>1506.1033201500004</v>
      </c>
      <c r="BJ61" s="112">
        <f t="shared" si="30"/>
        <v>1383.3837903600001</v>
      </c>
      <c r="BK61" s="289">
        <f t="shared" si="31"/>
        <v>20400.727287476249</v>
      </c>
      <c r="BL61" s="112">
        <f t="shared" si="32"/>
        <v>1132.99132430484</v>
      </c>
      <c r="BM61" s="112">
        <f t="shared" si="32"/>
        <v>1204.5647009746349</v>
      </c>
      <c r="BN61" s="112">
        <f t="shared" si="32"/>
        <v>1699.4869864572602</v>
      </c>
      <c r="BO61" s="112">
        <f t="shared" si="32"/>
        <v>2010.1458979602005</v>
      </c>
      <c r="BP61" s="112">
        <f t="shared" si="32"/>
        <v>2265.9826486096799</v>
      </c>
      <c r="BQ61" s="112">
        <f t="shared" si="32"/>
        <v>2010.1458979602005</v>
      </c>
      <c r="BR61" s="112">
        <f t="shared" si="32"/>
        <v>1888.3188738413996</v>
      </c>
      <c r="BS61" s="112">
        <f t="shared" si="32"/>
        <v>2360.3985923017499</v>
      </c>
      <c r="BT61" s="112">
        <f t="shared" si="32"/>
        <v>2284.2567022274993</v>
      </c>
      <c r="BU61" s="112">
        <f t="shared" si="32"/>
        <v>2265.9826486096799</v>
      </c>
      <c r="BV61" s="112">
        <f t="shared" si="32"/>
        <v>1644.6648256038004</v>
      </c>
      <c r="BW61" s="112">
        <f t="shared" si="32"/>
        <v>1510.6550990731203</v>
      </c>
      <c r="BX61" s="291">
        <f t="shared" si="33"/>
        <v>22277.59419792406</v>
      </c>
      <c r="BY61" s="103"/>
    </row>
    <row r="62" spans="1:77" ht="15.75" customHeight="1">
      <c r="A62" s="92"/>
      <c r="B62" s="92"/>
      <c r="C62" s="92"/>
      <c r="D62" s="92"/>
      <c r="E62" s="92"/>
      <c r="F62" s="92"/>
      <c r="G62" s="106"/>
      <c r="H62" s="106"/>
      <c r="I62" s="92"/>
      <c r="J62" s="92">
        <f t="shared" si="18"/>
        <v>0</v>
      </c>
      <c r="K62" s="92"/>
      <c r="L62" s="112">
        <f t="shared" ref="L62:W62" si="42">$B25*L25</f>
        <v>0</v>
      </c>
      <c r="M62" s="112">
        <f t="shared" si="42"/>
        <v>0</v>
      </c>
      <c r="N62" s="112">
        <f t="shared" si="42"/>
        <v>0</v>
      </c>
      <c r="O62" s="112">
        <f t="shared" si="42"/>
        <v>0</v>
      </c>
      <c r="P62" s="112">
        <f t="shared" si="42"/>
        <v>0</v>
      </c>
      <c r="Q62" s="112">
        <f t="shared" si="42"/>
        <v>0</v>
      </c>
      <c r="R62" s="112">
        <f t="shared" si="42"/>
        <v>0</v>
      </c>
      <c r="S62" s="112">
        <f t="shared" si="42"/>
        <v>0</v>
      </c>
      <c r="T62" s="112">
        <f t="shared" si="42"/>
        <v>0</v>
      </c>
      <c r="U62" s="112">
        <f t="shared" si="42"/>
        <v>0</v>
      </c>
      <c r="V62" s="112">
        <f t="shared" si="42"/>
        <v>0</v>
      </c>
      <c r="W62" s="112">
        <f t="shared" si="42"/>
        <v>0</v>
      </c>
      <c r="X62" s="291">
        <f>SUM(L62:W62)</f>
        <v>0</v>
      </c>
      <c r="Y62" s="112">
        <f t="shared" si="26"/>
        <v>0</v>
      </c>
      <c r="Z62" s="112">
        <f t="shared" si="26"/>
        <v>0</v>
      </c>
      <c r="AA62" s="112">
        <f t="shared" si="26"/>
        <v>0</v>
      </c>
      <c r="AB62" s="112">
        <f t="shared" si="26"/>
        <v>0</v>
      </c>
      <c r="AC62" s="112">
        <f t="shared" si="26"/>
        <v>0</v>
      </c>
      <c r="AD62" s="112">
        <f t="shared" si="26"/>
        <v>0</v>
      </c>
      <c r="AE62" s="112">
        <f t="shared" si="26"/>
        <v>0</v>
      </c>
      <c r="AF62" s="112">
        <f t="shared" si="26"/>
        <v>0</v>
      </c>
      <c r="AG62" s="112">
        <f t="shared" si="26"/>
        <v>0</v>
      </c>
      <c r="AH62" s="112">
        <f t="shared" si="26"/>
        <v>0</v>
      </c>
      <c r="AI62" s="112">
        <f t="shared" si="26"/>
        <v>0</v>
      </c>
      <c r="AJ62" s="112">
        <f t="shared" si="26"/>
        <v>0</v>
      </c>
      <c r="AK62" s="291">
        <f t="shared" si="27"/>
        <v>0</v>
      </c>
      <c r="AL62" s="112">
        <f t="shared" si="28"/>
        <v>0</v>
      </c>
      <c r="AM62" s="112">
        <f t="shared" si="28"/>
        <v>0</v>
      </c>
      <c r="AN62" s="112">
        <f t="shared" si="28"/>
        <v>0</v>
      </c>
      <c r="AO62" s="112">
        <f t="shared" si="28"/>
        <v>0</v>
      </c>
      <c r="AP62" s="112">
        <f t="shared" si="28"/>
        <v>0</v>
      </c>
      <c r="AQ62" s="112">
        <f t="shared" si="28"/>
        <v>0</v>
      </c>
      <c r="AR62" s="112">
        <f t="shared" si="28"/>
        <v>0</v>
      </c>
      <c r="AS62" s="112">
        <f t="shared" si="28"/>
        <v>0</v>
      </c>
      <c r="AT62" s="112">
        <f t="shared" si="28"/>
        <v>0</v>
      </c>
      <c r="AU62" s="112">
        <f t="shared" si="28"/>
        <v>0</v>
      </c>
      <c r="AV62" s="112">
        <f t="shared" si="28"/>
        <v>0</v>
      </c>
      <c r="AW62" s="112">
        <f t="shared" si="28"/>
        <v>0</v>
      </c>
      <c r="AX62" s="289">
        <f t="shared" si="29"/>
        <v>0</v>
      </c>
      <c r="AY62" s="112">
        <f t="shared" si="30"/>
        <v>0</v>
      </c>
      <c r="AZ62" s="112">
        <f t="shared" si="30"/>
        <v>0</v>
      </c>
      <c r="BA62" s="112">
        <f t="shared" si="30"/>
        <v>0</v>
      </c>
      <c r="BB62" s="112">
        <f t="shared" si="30"/>
        <v>0</v>
      </c>
      <c r="BC62" s="112">
        <f t="shared" si="30"/>
        <v>0</v>
      </c>
      <c r="BD62" s="112">
        <f t="shared" si="30"/>
        <v>0</v>
      </c>
      <c r="BE62" s="112">
        <f t="shared" si="30"/>
        <v>0</v>
      </c>
      <c r="BF62" s="112">
        <f t="shared" si="30"/>
        <v>0</v>
      </c>
      <c r="BG62" s="112">
        <f t="shared" si="30"/>
        <v>0</v>
      </c>
      <c r="BH62" s="112">
        <f t="shared" si="30"/>
        <v>0</v>
      </c>
      <c r="BI62" s="112">
        <f t="shared" si="30"/>
        <v>0</v>
      </c>
      <c r="BJ62" s="112">
        <f t="shared" si="30"/>
        <v>0</v>
      </c>
      <c r="BK62" s="289">
        <f t="shared" si="31"/>
        <v>0</v>
      </c>
      <c r="BL62" s="112">
        <f t="shared" si="32"/>
        <v>0</v>
      </c>
      <c r="BM62" s="112">
        <f t="shared" si="32"/>
        <v>0</v>
      </c>
      <c r="BN62" s="112">
        <f t="shared" si="32"/>
        <v>0</v>
      </c>
      <c r="BO62" s="112">
        <f t="shared" si="32"/>
        <v>0</v>
      </c>
      <c r="BP62" s="112">
        <f t="shared" si="32"/>
        <v>0</v>
      </c>
      <c r="BQ62" s="112">
        <f t="shared" si="32"/>
        <v>0</v>
      </c>
      <c r="BR62" s="112">
        <f t="shared" si="32"/>
        <v>0</v>
      </c>
      <c r="BS62" s="112">
        <f t="shared" si="32"/>
        <v>0</v>
      </c>
      <c r="BT62" s="112">
        <f t="shared" si="32"/>
        <v>0</v>
      </c>
      <c r="BU62" s="112">
        <f t="shared" si="32"/>
        <v>0</v>
      </c>
      <c r="BV62" s="112">
        <f t="shared" si="32"/>
        <v>0</v>
      </c>
      <c r="BW62" s="112">
        <f t="shared" si="32"/>
        <v>0</v>
      </c>
      <c r="BX62" s="291">
        <f t="shared" si="33"/>
        <v>0</v>
      </c>
      <c r="BY62" s="103"/>
    </row>
    <row r="63" spans="1:77" ht="15.75" customHeight="1">
      <c r="A63" s="92"/>
      <c r="B63" s="92"/>
      <c r="C63" s="92"/>
      <c r="D63" s="92"/>
      <c r="E63" s="92"/>
      <c r="F63" s="92"/>
      <c r="G63" s="106"/>
      <c r="H63" s="106"/>
      <c r="I63" s="92"/>
      <c r="J63" s="92">
        <f t="shared" si="18"/>
        <v>0</v>
      </c>
      <c r="K63" s="92"/>
      <c r="L63" s="112">
        <f t="shared" ref="L63:W63" si="43">$B26*L26</f>
        <v>0</v>
      </c>
      <c r="M63" s="112">
        <f t="shared" si="43"/>
        <v>0</v>
      </c>
      <c r="N63" s="112">
        <f t="shared" si="43"/>
        <v>0</v>
      </c>
      <c r="O63" s="112">
        <f t="shared" si="43"/>
        <v>0</v>
      </c>
      <c r="P63" s="112">
        <f t="shared" si="43"/>
        <v>0</v>
      </c>
      <c r="Q63" s="112">
        <f t="shared" si="43"/>
        <v>0</v>
      </c>
      <c r="R63" s="112">
        <f t="shared" si="43"/>
        <v>0</v>
      </c>
      <c r="S63" s="112">
        <f t="shared" si="43"/>
        <v>0</v>
      </c>
      <c r="T63" s="112">
        <f t="shared" si="43"/>
        <v>0</v>
      </c>
      <c r="U63" s="112">
        <f t="shared" si="43"/>
        <v>0</v>
      </c>
      <c r="V63" s="112">
        <f t="shared" si="43"/>
        <v>0</v>
      </c>
      <c r="W63" s="112">
        <f t="shared" si="43"/>
        <v>0</v>
      </c>
      <c r="X63" s="291">
        <f>SUM(L63:W63)</f>
        <v>0</v>
      </c>
      <c r="Y63" s="112">
        <f t="shared" si="26"/>
        <v>0</v>
      </c>
      <c r="Z63" s="112">
        <f t="shared" si="26"/>
        <v>0</v>
      </c>
      <c r="AA63" s="112">
        <f t="shared" si="26"/>
        <v>0</v>
      </c>
      <c r="AB63" s="112">
        <f t="shared" si="26"/>
        <v>0</v>
      </c>
      <c r="AC63" s="112">
        <f t="shared" si="26"/>
        <v>0</v>
      </c>
      <c r="AD63" s="112">
        <f t="shared" si="26"/>
        <v>0</v>
      </c>
      <c r="AE63" s="112">
        <f t="shared" si="26"/>
        <v>0</v>
      </c>
      <c r="AF63" s="112">
        <f t="shared" si="26"/>
        <v>0</v>
      </c>
      <c r="AG63" s="112">
        <f t="shared" si="26"/>
        <v>0</v>
      </c>
      <c r="AH63" s="112">
        <f t="shared" si="26"/>
        <v>0</v>
      </c>
      <c r="AI63" s="112">
        <f t="shared" si="26"/>
        <v>0</v>
      </c>
      <c r="AJ63" s="112">
        <f t="shared" si="26"/>
        <v>0</v>
      </c>
      <c r="AK63" s="291">
        <f t="shared" si="27"/>
        <v>0</v>
      </c>
      <c r="AL63" s="112">
        <f t="shared" si="28"/>
        <v>0</v>
      </c>
      <c r="AM63" s="112">
        <f t="shared" si="28"/>
        <v>0</v>
      </c>
      <c r="AN63" s="112">
        <f t="shared" si="28"/>
        <v>0</v>
      </c>
      <c r="AO63" s="112">
        <f t="shared" si="28"/>
        <v>0</v>
      </c>
      <c r="AP63" s="112">
        <f t="shared" si="28"/>
        <v>0</v>
      </c>
      <c r="AQ63" s="112">
        <f t="shared" si="28"/>
        <v>0</v>
      </c>
      <c r="AR63" s="112">
        <f t="shared" si="28"/>
        <v>0</v>
      </c>
      <c r="AS63" s="112">
        <f t="shared" si="28"/>
        <v>0</v>
      </c>
      <c r="AT63" s="112">
        <f t="shared" si="28"/>
        <v>0</v>
      </c>
      <c r="AU63" s="112">
        <f t="shared" si="28"/>
        <v>0</v>
      </c>
      <c r="AV63" s="112">
        <f t="shared" si="28"/>
        <v>0</v>
      </c>
      <c r="AW63" s="112">
        <f t="shared" si="28"/>
        <v>0</v>
      </c>
      <c r="AX63" s="289">
        <f t="shared" si="29"/>
        <v>0</v>
      </c>
      <c r="AY63" s="112">
        <f t="shared" si="30"/>
        <v>0</v>
      </c>
      <c r="AZ63" s="112">
        <f t="shared" si="30"/>
        <v>0</v>
      </c>
      <c r="BA63" s="112">
        <f t="shared" si="30"/>
        <v>0</v>
      </c>
      <c r="BB63" s="112">
        <f t="shared" si="30"/>
        <v>0</v>
      </c>
      <c r="BC63" s="112">
        <f t="shared" si="30"/>
        <v>0</v>
      </c>
      <c r="BD63" s="112">
        <f t="shared" si="30"/>
        <v>0</v>
      </c>
      <c r="BE63" s="112">
        <f t="shared" si="30"/>
        <v>0</v>
      </c>
      <c r="BF63" s="112">
        <f t="shared" si="30"/>
        <v>0</v>
      </c>
      <c r="BG63" s="112">
        <f t="shared" si="30"/>
        <v>0</v>
      </c>
      <c r="BH63" s="112">
        <f t="shared" si="30"/>
        <v>0</v>
      </c>
      <c r="BI63" s="112">
        <f t="shared" si="30"/>
        <v>0</v>
      </c>
      <c r="BJ63" s="112">
        <f t="shared" si="30"/>
        <v>0</v>
      </c>
      <c r="BK63" s="289">
        <f t="shared" si="31"/>
        <v>0</v>
      </c>
      <c r="BL63" s="112">
        <f t="shared" si="32"/>
        <v>0</v>
      </c>
      <c r="BM63" s="112">
        <f t="shared" si="32"/>
        <v>0</v>
      </c>
      <c r="BN63" s="112">
        <f t="shared" si="32"/>
        <v>0</v>
      </c>
      <c r="BO63" s="112">
        <f t="shared" si="32"/>
        <v>0</v>
      </c>
      <c r="BP63" s="112">
        <f t="shared" si="32"/>
        <v>0</v>
      </c>
      <c r="BQ63" s="112">
        <f t="shared" si="32"/>
        <v>0</v>
      </c>
      <c r="BR63" s="112">
        <f t="shared" si="32"/>
        <v>0</v>
      </c>
      <c r="BS63" s="112">
        <f t="shared" si="32"/>
        <v>0</v>
      </c>
      <c r="BT63" s="112">
        <f t="shared" si="32"/>
        <v>0</v>
      </c>
      <c r="BU63" s="112">
        <f t="shared" si="32"/>
        <v>0</v>
      </c>
      <c r="BV63" s="112">
        <f t="shared" si="32"/>
        <v>0</v>
      </c>
      <c r="BW63" s="112">
        <f t="shared" si="32"/>
        <v>0</v>
      </c>
      <c r="BX63" s="291">
        <f t="shared" si="33"/>
        <v>0</v>
      </c>
      <c r="BY63" s="103"/>
    </row>
    <row r="64" spans="1:77" ht="15.75" customHeight="1">
      <c r="A64" s="92"/>
      <c r="B64" s="92"/>
      <c r="C64" s="92"/>
      <c r="D64" s="92"/>
      <c r="E64" s="92"/>
      <c r="F64" s="92"/>
      <c r="G64" s="106"/>
      <c r="H64" s="106"/>
      <c r="I64" s="92"/>
      <c r="J64" s="92">
        <f t="shared" si="18"/>
        <v>0</v>
      </c>
      <c r="K64" s="92"/>
      <c r="L64" s="112">
        <f t="shared" ref="L64:W64" si="44">$B27*L27</f>
        <v>0</v>
      </c>
      <c r="M64" s="112">
        <f t="shared" si="44"/>
        <v>0</v>
      </c>
      <c r="N64" s="112">
        <f t="shared" si="44"/>
        <v>0</v>
      </c>
      <c r="O64" s="112">
        <f t="shared" si="44"/>
        <v>0</v>
      </c>
      <c r="P64" s="112">
        <f t="shared" si="44"/>
        <v>0</v>
      </c>
      <c r="Q64" s="112">
        <f t="shared" si="44"/>
        <v>0</v>
      </c>
      <c r="R64" s="112">
        <f t="shared" si="44"/>
        <v>0</v>
      </c>
      <c r="S64" s="112">
        <f t="shared" si="44"/>
        <v>0</v>
      </c>
      <c r="T64" s="112">
        <f t="shared" si="44"/>
        <v>0</v>
      </c>
      <c r="U64" s="112">
        <f t="shared" si="44"/>
        <v>0</v>
      </c>
      <c r="V64" s="112">
        <f t="shared" si="44"/>
        <v>0</v>
      </c>
      <c r="W64" s="112">
        <f t="shared" si="44"/>
        <v>0</v>
      </c>
      <c r="X64" s="291">
        <f>SUM(L64:W64)</f>
        <v>0</v>
      </c>
      <c r="Y64" s="112">
        <f t="shared" si="26"/>
        <v>0</v>
      </c>
      <c r="Z64" s="112">
        <f t="shared" si="26"/>
        <v>0</v>
      </c>
      <c r="AA64" s="112">
        <f t="shared" si="26"/>
        <v>0</v>
      </c>
      <c r="AB64" s="112">
        <f t="shared" si="26"/>
        <v>0</v>
      </c>
      <c r="AC64" s="112">
        <f t="shared" si="26"/>
        <v>0</v>
      </c>
      <c r="AD64" s="112">
        <f t="shared" si="26"/>
        <v>0</v>
      </c>
      <c r="AE64" s="112">
        <f t="shared" si="26"/>
        <v>0</v>
      </c>
      <c r="AF64" s="112">
        <f t="shared" si="26"/>
        <v>0</v>
      </c>
      <c r="AG64" s="112">
        <f t="shared" si="26"/>
        <v>0</v>
      </c>
      <c r="AH64" s="112">
        <f t="shared" si="26"/>
        <v>0</v>
      </c>
      <c r="AI64" s="112">
        <f t="shared" si="26"/>
        <v>0</v>
      </c>
      <c r="AJ64" s="112">
        <f t="shared" si="26"/>
        <v>0</v>
      </c>
      <c r="AK64" s="291">
        <f t="shared" si="27"/>
        <v>0</v>
      </c>
      <c r="AL64" s="112">
        <f t="shared" si="28"/>
        <v>0</v>
      </c>
      <c r="AM64" s="112">
        <f t="shared" si="28"/>
        <v>0</v>
      </c>
      <c r="AN64" s="112">
        <f t="shared" si="28"/>
        <v>0</v>
      </c>
      <c r="AO64" s="112">
        <f t="shared" si="28"/>
        <v>0</v>
      </c>
      <c r="AP64" s="112">
        <f t="shared" si="28"/>
        <v>0</v>
      </c>
      <c r="AQ64" s="112">
        <f t="shared" si="28"/>
        <v>0</v>
      </c>
      <c r="AR64" s="112">
        <f t="shared" si="28"/>
        <v>0</v>
      </c>
      <c r="AS64" s="112">
        <f t="shared" si="28"/>
        <v>0</v>
      </c>
      <c r="AT64" s="112">
        <f t="shared" si="28"/>
        <v>0</v>
      </c>
      <c r="AU64" s="112">
        <f t="shared" si="28"/>
        <v>0</v>
      </c>
      <c r="AV64" s="112">
        <f t="shared" si="28"/>
        <v>0</v>
      </c>
      <c r="AW64" s="112">
        <f t="shared" si="28"/>
        <v>0</v>
      </c>
      <c r="AX64" s="289">
        <f t="shared" si="29"/>
        <v>0</v>
      </c>
      <c r="AY64" s="112">
        <f t="shared" si="30"/>
        <v>0</v>
      </c>
      <c r="AZ64" s="112">
        <f t="shared" si="30"/>
        <v>0</v>
      </c>
      <c r="BA64" s="112">
        <f t="shared" si="30"/>
        <v>0</v>
      </c>
      <c r="BB64" s="112">
        <f t="shared" si="30"/>
        <v>0</v>
      </c>
      <c r="BC64" s="112">
        <f t="shared" si="30"/>
        <v>0</v>
      </c>
      <c r="BD64" s="112">
        <f t="shared" si="30"/>
        <v>0</v>
      </c>
      <c r="BE64" s="112">
        <f t="shared" si="30"/>
        <v>0</v>
      </c>
      <c r="BF64" s="112">
        <f t="shared" si="30"/>
        <v>0</v>
      </c>
      <c r="BG64" s="112">
        <f t="shared" si="30"/>
        <v>0</v>
      </c>
      <c r="BH64" s="112">
        <f t="shared" si="30"/>
        <v>0</v>
      </c>
      <c r="BI64" s="112">
        <f t="shared" si="30"/>
        <v>0</v>
      </c>
      <c r="BJ64" s="112">
        <f t="shared" si="30"/>
        <v>0</v>
      </c>
      <c r="BK64" s="289">
        <f t="shared" si="31"/>
        <v>0</v>
      </c>
      <c r="BL64" s="112">
        <f t="shared" si="32"/>
        <v>0</v>
      </c>
      <c r="BM64" s="112">
        <f t="shared" si="32"/>
        <v>0</v>
      </c>
      <c r="BN64" s="112">
        <f t="shared" si="32"/>
        <v>0</v>
      </c>
      <c r="BO64" s="112">
        <f t="shared" si="32"/>
        <v>0</v>
      </c>
      <c r="BP64" s="112">
        <f t="shared" si="32"/>
        <v>0</v>
      </c>
      <c r="BQ64" s="112">
        <f t="shared" si="32"/>
        <v>0</v>
      </c>
      <c r="BR64" s="112">
        <f t="shared" si="32"/>
        <v>0</v>
      </c>
      <c r="BS64" s="112">
        <f t="shared" si="32"/>
        <v>0</v>
      </c>
      <c r="BT64" s="112">
        <f t="shared" si="32"/>
        <v>0</v>
      </c>
      <c r="BU64" s="112">
        <f t="shared" si="32"/>
        <v>0</v>
      </c>
      <c r="BV64" s="112">
        <f t="shared" si="32"/>
        <v>0</v>
      </c>
      <c r="BW64" s="112">
        <f t="shared" si="32"/>
        <v>0</v>
      </c>
      <c r="BX64" s="291">
        <f t="shared" si="33"/>
        <v>0</v>
      </c>
      <c r="BY64" s="103"/>
    </row>
    <row r="65" spans="1:77" ht="15.75" customHeight="1">
      <c r="A65" s="92"/>
      <c r="B65" s="92"/>
      <c r="C65" s="92"/>
      <c r="D65" s="92"/>
      <c r="E65" s="92"/>
      <c r="F65" s="92"/>
      <c r="G65" s="106"/>
      <c r="H65" s="106"/>
      <c r="I65" s="92"/>
      <c r="J65" s="92"/>
      <c r="K65" s="92" t="s">
        <v>354</v>
      </c>
      <c r="L65" s="112">
        <f>SUM(L52:L61)</f>
        <v>21030.462</v>
      </c>
      <c r="M65" s="112">
        <f t="shared" ref="M65:W65" si="45">SUM(M52:M61)</f>
        <v>22358.999249999997</v>
      </c>
      <c r="N65" s="112">
        <f t="shared" si="45"/>
        <v>31545.693000000003</v>
      </c>
      <c r="O65" s="112">
        <f t="shared" si="45"/>
        <v>37312.11</v>
      </c>
      <c r="P65" s="112">
        <f t="shared" si="45"/>
        <v>42060.923999999999</v>
      </c>
      <c r="Q65" s="112">
        <f t="shared" si="45"/>
        <v>37312.11</v>
      </c>
      <c r="R65" s="112">
        <f t="shared" si="45"/>
        <v>35050.769999999997</v>
      </c>
      <c r="S65" s="112">
        <f t="shared" si="45"/>
        <v>43813.462499999994</v>
      </c>
      <c r="T65" s="112">
        <f t="shared" si="45"/>
        <v>42400.124999999993</v>
      </c>
      <c r="U65" s="112">
        <f t="shared" si="45"/>
        <v>42060.923999999999</v>
      </c>
      <c r="V65" s="112">
        <f t="shared" si="45"/>
        <v>30528.090000000007</v>
      </c>
      <c r="W65" s="112">
        <f t="shared" si="45"/>
        <v>28040.616000000005</v>
      </c>
      <c r="X65" s="291">
        <f>SUM(L65:W65)</f>
        <v>413514.28574999998</v>
      </c>
      <c r="Y65" s="307">
        <f>SUM(Y52:Y61)</f>
        <v>24185.031300000002</v>
      </c>
      <c r="Z65" s="112">
        <f t="shared" ref="Z65:AJ65" si="46">SUM(Z52:Z61)</f>
        <v>25712.84913749999</v>
      </c>
      <c r="AA65" s="112">
        <f t="shared" si="46"/>
        <v>36277.546949999996</v>
      </c>
      <c r="AB65" s="112">
        <f t="shared" si="46"/>
        <v>42908.926500000009</v>
      </c>
      <c r="AC65" s="112">
        <f t="shared" si="46"/>
        <v>48370.062600000005</v>
      </c>
      <c r="AD65" s="112">
        <f t="shared" si="46"/>
        <v>42908.926500000009</v>
      </c>
      <c r="AE65" s="112">
        <f t="shared" si="46"/>
        <v>40308.385499999997</v>
      </c>
      <c r="AF65" s="112">
        <f t="shared" si="46"/>
        <v>50385.48187499999</v>
      </c>
      <c r="AG65" s="112">
        <f t="shared" si="46"/>
        <v>48760.143749999996</v>
      </c>
      <c r="AH65" s="112">
        <f t="shared" si="46"/>
        <v>48370.062600000005</v>
      </c>
      <c r="AI65" s="112">
        <f t="shared" si="46"/>
        <v>35107.303500000002</v>
      </c>
      <c r="AJ65" s="112">
        <f t="shared" si="46"/>
        <v>32246.708400000003</v>
      </c>
      <c r="AK65" s="291">
        <f t="shared" si="27"/>
        <v>475541.42861249996</v>
      </c>
      <c r="AL65" s="307">
        <f>SUM(AL52:AL61)</f>
        <v>27667.675807200001</v>
      </c>
      <c r="AM65" s="112">
        <f t="shared" ref="AM65:AW65" si="47">SUM(AM52:AM61)</f>
        <v>29415.4994133</v>
      </c>
      <c r="AN65" s="112">
        <f t="shared" si="47"/>
        <v>41501.513710800013</v>
      </c>
      <c r="AO65" s="112">
        <f t="shared" si="47"/>
        <v>49087.811916000006</v>
      </c>
      <c r="AP65" s="112">
        <f t="shared" si="47"/>
        <v>55335.351614400002</v>
      </c>
      <c r="AQ65" s="112">
        <f t="shared" si="47"/>
        <v>49087.811916000006</v>
      </c>
      <c r="AR65" s="112">
        <f t="shared" si="47"/>
        <v>46112.793012000009</v>
      </c>
      <c r="AS65" s="112">
        <f t="shared" si="47"/>
        <v>57640.991265000004</v>
      </c>
      <c r="AT65" s="112">
        <f t="shared" si="47"/>
        <v>55781.604449999992</v>
      </c>
      <c r="AU65" s="112">
        <f t="shared" si="47"/>
        <v>55335.351614400002</v>
      </c>
      <c r="AV65" s="112">
        <f t="shared" si="47"/>
        <v>40162.755203999986</v>
      </c>
      <c r="AW65" s="112">
        <f t="shared" si="47"/>
        <v>36890.234409600009</v>
      </c>
      <c r="AX65" s="291">
        <f t="shared" si="29"/>
        <v>544019.39433270006</v>
      </c>
      <c r="AY65" s="307">
        <f>SUM(AY52:AY61)</f>
        <v>29051.059597560001</v>
      </c>
      <c r="AZ65" s="112">
        <f t="shared" ref="AZ65:BJ65" si="48">SUM(AZ52:AZ61)</f>
        <v>30886.274383965003</v>
      </c>
      <c r="BA65" s="112">
        <f t="shared" si="48"/>
        <v>43576.589396340001</v>
      </c>
      <c r="BB65" s="112">
        <f t="shared" si="48"/>
        <v>51542.202511800002</v>
      </c>
      <c r="BC65" s="112">
        <f t="shared" si="48"/>
        <v>58102.119195120002</v>
      </c>
      <c r="BD65" s="112">
        <f t="shared" si="48"/>
        <v>51542.202511800002</v>
      </c>
      <c r="BE65" s="112">
        <f t="shared" si="48"/>
        <v>48418.432662600011</v>
      </c>
      <c r="BF65" s="112">
        <f t="shared" si="48"/>
        <v>60523.040828250007</v>
      </c>
      <c r="BG65" s="112">
        <f t="shared" si="48"/>
        <v>58570.684672500007</v>
      </c>
      <c r="BH65" s="112">
        <f t="shared" si="48"/>
        <v>58102.119195120002</v>
      </c>
      <c r="BI65" s="112">
        <f t="shared" si="48"/>
        <v>42170.892964200015</v>
      </c>
      <c r="BJ65" s="112">
        <f t="shared" si="48"/>
        <v>38734.746130079999</v>
      </c>
      <c r="BK65" s="291">
        <f t="shared" si="31"/>
        <v>571220.36404933501</v>
      </c>
      <c r="BL65" s="307">
        <f>SUM(BL52:BL61)</f>
        <v>31723.757080535521</v>
      </c>
      <c r="BM65" s="112">
        <f t="shared" ref="BM65:BW65" si="49">SUM(BM52:BM61)</f>
        <v>33727.811627289782</v>
      </c>
      <c r="BN65" s="112">
        <f t="shared" si="49"/>
        <v>47585.635620803288</v>
      </c>
      <c r="BO65" s="112">
        <f t="shared" si="49"/>
        <v>56284.085142885626</v>
      </c>
      <c r="BP65" s="112">
        <f t="shared" si="49"/>
        <v>63447.514161071042</v>
      </c>
      <c r="BQ65" s="112">
        <f t="shared" si="49"/>
        <v>56284.085142885626</v>
      </c>
      <c r="BR65" s="112">
        <f t="shared" si="49"/>
        <v>52872.928467559206</v>
      </c>
      <c r="BS65" s="112">
        <f t="shared" si="49"/>
        <v>66091.160584448997</v>
      </c>
      <c r="BT65" s="112">
        <f t="shared" si="49"/>
        <v>63959.187662370001</v>
      </c>
      <c r="BU65" s="112">
        <f t="shared" si="49"/>
        <v>63447.514161071042</v>
      </c>
      <c r="BV65" s="112">
        <f t="shared" si="49"/>
        <v>46050.615116906418</v>
      </c>
      <c r="BW65" s="112">
        <f t="shared" si="49"/>
        <v>42298.342774047363</v>
      </c>
      <c r="BX65" s="291">
        <f t="shared" si="33"/>
        <v>623772.63754187408</v>
      </c>
      <c r="BY65" s="103"/>
    </row>
    <row r="66" spans="1:77" ht="15.75" customHeight="1">
      <c r="A66" s="92"/>
      <c r="B66" s="92"/>
      <c r="C66" s="92"/>
      <c r="D66" s="92"/>
      <c r="E66" s="92"/>
      <c r="F66" s="92"/>
      <c r="G66" s="106"/>
      <c r="H66" s="106"/>
      <c r="I66" s="92"/>
      <c r="J66" s="92"/>
      <c r="K66" s="9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291"/>
      <c r="Y66" s="307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291"/>
      <c r="AL66" s="298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288"/>
      <c r="AY66" s="298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288"/>
      <c r="BL66" s="298"/>
      <c r="BM66" s="102"/>
      <c r="BN66" s="102"/>
      <c r="BO66" s="102"/>
      <c r="BP66" s="102"/>
      <c r="BQ66" s="102"/>
      <c r="BR66" s="102"/>
      <c r="BS66" s="102"/>
      <c r="BT66" s="102"/>
      <c r="BU66" s="102"/>
      <c r="BV66" s="102"/>
      <c r="BW66" s="102"/>
      <c r="BX66" s="103"/>
      <c r="BY66" s="103"/>
    </row>
    <row r="67" spans="1:77" ht="15.75" customHeight="1">
      <c r="A67" s="92"/>
      <c r="B67" s="92"/>
      <c r="C67" s="92"/>
      <c r="D67" s="92"/>
      <c r="E67" s="92"/>
      <c r="F67" s="92"/>
      <c r="G67" s="106"/>
      <c r="H67" s="106"/>
      <c r="I67" s="255" t="s">
        <v>516</v>
      </c>
      <c r="J67" s="92"/>
      <c r="K67" s="9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291"/>
      <c r="Y67" s="298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288"/>
      <c r="AL67" s="298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288"/>
      <c r="AY67" s="298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288"/>
      <c r="BL67" s="298"/>
      <c r="BM67" s="102"/>
      <c r="BN67" s="102"/>
      <c r="BO67" s="102"/>
      <c r="BP67" s="102"/>
      <c r="BQ67" s="102"/>
      <c r="BR67" s="102"/>
      <c r="BS67" s="102"/>
      <c r="BT67" s="102"/>
      <c r="BU67" s="102"/>
      <c r="BV67" s="102"/>
      <c r="BW67" s="102"/>
      <c r="BX67" s="103"/>
      <c r="BY67" s="103"/>
    </row>
    <row r="68" spans="1:77" ht="15.75" customHeight="1">
      <c r="A68" s="92"/>
      <c r="B68" s="92"/>
      <c r="C68" s="92"/>
      <c r="D68" s="92"/>
      <c r="E68" s="92"/>
      <c r="F68" s="92"/>
      <c r="G68" s="106"/>
      <c r="H68" s="106"/>
      <c r="I68" s="92"/>
      <c r="J68" s="92" t="str">
        <f t="shared" ref="J68:J80" si="50">J31</f>
        <v>Core 1 - Lager</v>
      </c>
      <c r="K68" s="92"/>
      <c r="L68" s="112">
        <f t="shared" ref="L68:W68" si="51">$B31*L31</f>
        <v>220.9042285714286</v>
      </c>
      <c r="M68" s="112">
        <f t="shared" si="51"/>
        <v>234.85919999999999</v>
      </c>
      <c r="N68" s="112">
        <f t="shared" si="51"/>
        <v>331.35634285714292</v>
      </c>
      <c r="O68" s="112">
        <f t="shared" si="51"/>
        <v>391.92685714285722</v>
      </c>
      <c r="P68" s="112">
        <f t="shared" si="51"/>
        <v>441.80845714285721</v>
      </c>
      <c r="Q68" s="112">
        <f t="shared" si="51"/>
        <v>391.92685714285722</v>
      </c>
      <c r="R68" s="112">
        <f t="shared" si="51"/>
        <v>368.17371428571431</v>
      </c>
      <c r="S68" s="112">
        <f t="shared" si="51"/>
        <v>460.21714285714296</v>
      </c>
      <c r="T68" s="112">
        <f t="shared" si="51"/>
        <v>445.37142857142857</v>
      </c>
      <c r="U68" s="112">
        <f t="shared" si="51"/>
        <v>441.80845714285721</v>
      </c>
      <c r="V68" s="112">
        <f t="shared" si="51"/>
        <v>320.66742857142862</v>
      </c>
      <c r="W68" s="112">
        <f t="shared" si="51"/>
        <v>294.53897142857147</v>
      </c>
      <c r="X68" s="291">
        <f t="shared" si="20"/>
        <v>4343.5590857142861</v>
      </c>
      <c r="Y68" s="112">
        <f>$C31*Y31</f>
        <v>254.03986285714285</v>
      </c>
      <c r="Z68" s="112">
        <f t="shared" ref="Z68:AJ68" si="52">$C31*Z31</f>
        <v>270.08807999999999</v>
      </c>
      <c r="AA68" s="112">
        <f t="shared" si="52"/>
        <v>381.05979428571436</v>
      </c>
      <c r="AB68" s="112">
        <f t="shared" si="52"/>
        <v>450.71588571428572</v>
      </c>
      <c r="AC68" s="112">
        <f t="shared" si="52"/>
        <v>508.0797257142857</v>
      </c>
      <c r="AD68" s="112">
        <f t="shared" si="52"/>
        <v>450.71588571428572</v>
      </c>
      <c r="AE68" s="112">
        <f t="shared" si="52"/>
        <v>423.39977142857146</v>
      </c>
      <c r="AF68" s="112">
        <f t="shared" si="52"/>
        <v>529.24971428571439</v>
      </c>
      <c r="AG68" s="112">
        <f t="shared" si="52"/>
        <v>512.17714285714283</v>
      </c>
      <c r="AH68" s="112">
        <f t="shared" si="52"/>
        <v>508.0797257142857</v>
      </c>
      <c r="AI68" s="112">
        <f t="shared" si="52"/>
        <v>368.76754285714287</v>
      </c>
      <c r="AJ68" s="112">
        <f t="shared" si="52"/>
        <v>338.71981714285715</v>
      </c>
      <c r="AK68" s="291">
        <f>SUM(Y68:AJ68)</f>
        <v>4995.0929485714296</v>
      </c>
      <c r="AL68" s="112">
        <f>$D31*AL31</f>
        <v>290.62160310857143</v>
      </c>
      <c r="AM68" s="112">
        <f t="shared" ref="AM68:AW68" si="53">$D31*AM31</f>
        <v>308.98076351999998</v>
      </c>
      <c r="AN68" s="112">
        <f t="shared" si="53"/>
        <v>435.93240466285721</v>
      </c>
      <c r="AO68" s="112">
        <f t="shared" si="53"/>
        <v>515.6189732571429</v>
      </c>
      <c r="AP68" s="112">
        <f t="shared" si="53"/>
        <v>581.24320621714287</v>
      </c>
      <c r="AQ68" s="112">
        <f t="shared" si="53"/>
        <v>515.6189732571429</v>
      </c>
      <c r="AR68" s="112">
        <f t="shared" si="53"/>
        <v>484.3693385142858</v>
      </c>
      <c r="AS68" s="112">
        <f t="shared" si="53"/>
        <v>605.46167314285731</v>
      </c>
      <c r="AT68" s="112">
        <f t="shared" si="53"/>
        <v>585.93065142857142</v>
      </c>
      <c r="AU68" s="112">
        <f t="shared" si="53"/>
        <v>581.24320621714287</v>
      </c>
      <c r="AV68" s="112">
        <f t="shared" si="53"/>
        <v>421.87006902857144</v>
      </c>
      <c r="AW68" s="112">
        <f t="shared" si="53"/>
        <v>387.49547081142862</v>
      </c>
      <c r="AX68" s="289">
        <f>SUM(AL68:AW68)</f>
        <v>5714.3863331657139</v>
      </c>
      <c r="AY68" s="112">
        <f>$E31*AY31</f>
        <v>305.15268326400007</v>
      </c>
      <c r="AZ68" s="112">
        <f t="shared" ref="AZ68:BJ68" si="54">$E31*AZ31</f>
        <v>324.42980169600003</v>
      </c>
      <c r="BA68" s="112">
        <f t="shared" si="54"/>
        <v>457.72902489600011</v>
      </c>
      <c r="BB68" s="112">
        <f t="shared" si="54"/>
        <v>541.39992192000011</v>
      </c>
      <c r="BC68" s="112">
        <f t="shared" si="54"/>
        <v>610.30536652800015</v>
      </c>
      <c r="BD68" s="112">
        <f t="shared" si="54"/>
        <v>541.39992192000011</v>
      </c>
      <c r="BE68" s="112">
        <f t="shared" si="54"/>
        <v>508.58780544000012</v>
      </c>
      <c r="BF68" s="112">
        <f t="shared" si="54"/>
        <v>635.73475680000024</v>
      </c>
      <c r="BG68" s="112">
        <f t="shared" si="54"/>
        <v>615.22718399999997</v>
      </c>
      <c r="BH68" s="112">
        <f t="shared" si="54"/>
        <v>610.30536652800015</v>
      </c>
      <c r="BI68" s="112">
        <f t="shared" si="54"/>
        <v>442.96357248000004</v>
      </c>
      <c r="BJ68" s="112">
        <f t="shared" si="54"/>
        <v>406.87024435200004</v>
      </c>
      <c r="BK68" s="289">
        <f>SUM(AY68:BJ68)</f>
        <v>6000.1056498240005</v>
      </c>
      <c r="BL68" s="112">
        <f>$F31*BL31</f>
        <v>333.22673012428811</v>
      </c>
      <c r="BM68" s="112">
        <f t="shared" ref="BM68:BW68" si="55">$F31*BM31</f>
        <v>354.27734345203203</v>
      </c>
      <c r="BN68" s="112">
        <f t="shared" si="55"/>
        <v>499.84009518643217</v>
      </c>
      <c r="BO68" s="112">
        <f t="shared" si="55"/>
        <v>591.2087147366401</v>
      </c>
      <c r="BP68" s="112">
        <f t="shared" si="55"/>
        <v>666.45346024857622</v>
      </c>
      <c r="BQ68" s="112">
        <f t="shared" si="55"/>
        <v>591.2087147366401</v>
      </c>
      <c r="BR68" s="112">
        <f t="shared" si="55"/>
        <v>555.37788354048018</v>
      </c>
      <c r="BS68" s="112">
        <f t="shared" si="55"/>
        <v>694.22235442560043</v>
      </c>
      <c r="BT68" s="112">
        <f t="shared" si="55"/>
        <v>671.82808492800007</v>
      </c>
      <c r="BU68" s="112">
        <f t="shared" si="55"/>
        <v>666.45346024857622</v>
      </c>
      <c r="BV68" s="112">
        <f t="shared" si="55"/>
        <v>483.71622114816012</v>
      </c>
      <c r="BW68" s="112">
        <f t="shared" si="55"/>
        <v>444.30230683238415</v>
      </c>
      <c r="BX68" s="291">
        <f>SUM(BL68:BW68)</f>
        <v>6552.115369607809</v>
      </c>
      <c r="BY68" s="103"/>
    </row>
    <row r="69" spans="1:77" ht="15.75" customHeight="1">
      <c r="A69" s="92"/>
      <c r="B69" s="92"/>
      <c r="C69" s="92"/>
      <c r="D69" s="92"/>
      <c r="E69" s="92"/>
      <c r="F69" s="92"/>
      <c r="G69" s="106"/>
      <c r="H69" s="106"/>
      <c r="I69" s="92"/>
      <c r="J69" s="92" t="str">
        <f t="shared" si="50"/>
        <v>Core 2 - Hoppy Pale</v>
      </c>
      <c r="K69" s="92"/>
      <c r="L69" s="112">
        <f t="shared" ref="L69:W69" si="56">$B32*L32</f>
        <v>433.39062857142846</v>
      </c>
      <c r="M69" s="112">
        <f t="shared" si="56"/>
        <v>460.76879999999994</v>
      </c>
      <c r="N69" s="112">
        <f t="shared" si="56"/>
        <v>650.08594285714275</v>
      </c>
      <c r="O69" s="112">
        <f t="shared" si="56"/>
        <v>768.91885714285706</v>
      </c>
      <c r="P69" s="112">
        <f t="shared" si="56"/>
        <v>866.78125714285693</v>
      </c>
      <c r="Q69" s="112">
        <f t="shared" si="56"/>
        <v>768.91885714285706</v>
      </c>
      <c r="R69" s="112">
        <f t="shared" si="56"/>
        <v>722.31771428571415</v>
      </c>
      <c r="S69" s="112">
        <f t="shared" si="56"/>
        <v>902.89714285714285</v>
      </c>
      <c r="T69" s="112">
        <f t="shared" si="56"/>
        <v>873.77142857142837</v>
      </c>
      <c r="U69" s="112">
        <f t="shared" si="56"/>
        <v>866.78125714285693</v>
      </c>
      <c r="V69" s="112">
        <f t="shared" si="56"/>
        <v>629.11542857142842</v>
      </c>
      <c r="W69" s="112">
        <f t="shared" si="56"/>
        <v>577.85417142857148</v>
      </c>
      <c r="X69" s="291">
        <f t="shared" si="20"/>
        <v>8521.6014857142854</v>
      </c>
      <c r="Y69" s="112">
        <f t="shared" ref="Y69:AJ69" si="57">$C32*Y32</f>
        <v>498.39922285714266</v>
      </c>
      <c r="Z69" s="112">
        <f t="shared" si="57"/>
        <v>529.88411999999983</v>
      </c>
      <c r="AA69" s="112">
        <f t="shared" si="57"/>
        <v>747.59883428571413</v>
      </c>
      <c r="AB69" s="112">
        <f t="shared" si="57"/>
        <v>884.2566857142856</v>
      </c>
      <c r="AC69" s="112">
        <f t="shared" si="57"/>
        <v>996.79844571428532</v>
      </c>
      <c r="AD69" s="112">
        <f t="shared" si="57"/>
        <v>884.2566857142856</v>
      </c>
      <c r="AE69" s="112">
        <f t="shared" si="57"/>
        <v>830.66537142857123</v>
      </c>
      <c r="AF69" s="112">
        <f t="shared" si="57"/>
        <v>1038.3317142857143</v>
      </c>
      <c r="AG69" s="112">
        <f t="shared" si="57"/>
        <v>1004.8371428571426</v>
      </c>
      <c r="AH69" s="112">
        <f t="shared" si="57"/>
        <v>996.79844571428532</v>
      </c>
      <c r="AI69" s="112">
        <f t="shared" si="57"/>
        <v>723.48274285714274</v>
      </c>
      <c r="AJ69" s="112">
        <f t="shared" si="57"/>
        <v>664.53229714285703</v>
      </c>
      <c r="AK69" s="291">
        <f t="shared" ref="AK69:AK81" si="58">SUM(Y69:AJ69)</f>
        <v>9799.8417085714264</v>
      </c>
      <c r="AL69" s="112">
        <f t="shared" ref="AL69:AW69" si="59">$D32*AL32</f>
        <v>570.1687109485714</v>
      </c>
      <c r="AM69" s="112">
        <f t="shared" si="59"/>
        <v>606.18743327999994</v>
      </c>
      <c r="AN69" s="112">
        <f t="shared" si="59"/>
        <v>855.25306642285716</v>
      </c>
      <c r="AO69" s="112">
        <f t="shared" si="59"/>
        <v>1011.5896484571429</v>
      </c>
      <c r="AP69" s="112">
        <f t="shared" si="59"/>
        <v>1140.3374218971428</v>
      </c>
      <c r="AQ69" s="112">
        <f t="shared" si="59"/>
        <v>1011.5896484571429</v>
      </c>
      <c r="AR69" s="112">
        <f t="shared" si="59"/>
        <v>950.28118491428552</v>
      </c>
      <c r="AS69" s="112">
        <f t="shared" si="59"/>
        <v>1187.8514811428572</v>
      </c>
      <c r="AT69" s="112">
        <f t="shared" si="59"/>
        <v>1149.5336914285713</v>
      </c>
      <c r="AU69" s="112">
        <f t="shared" si="59"/>
        <v>1140.3374218971428</v>
      </c>
      <c r="AV69" s="112">
        <f t="shared" si="59"/>
        <v>827.66425782857141</v>
      </c>
      <c r="AW69" s="112">
        <f t="shared" si="59"/>
        <v>760.22494793142857</v>
      </c>
      <c r="AX69" s="289">
        <f t="shared" ref="AX69:AX81" si="60">SUM(AL69:AW69)</f>
        <v>11211.018914605713</v>
      </c>
      <c r="AY69" s="112">
        <f t="shared" ref="AY69:BJ69" si="61">$E32*AY32</f>
        <v>598.67714649599998</v>
      </c>
      <c r="AZ69" s="112">
        <f t="shared" si="61"/>
        <v>636.49680494400002</v>
      </c>
      <c r="BA69" s="112">
        <f t="shared" si="61"/>
        <v>898.01571974400008</v>
      </c>
      <c r="BB69" s="112">
        <f t="shared" si="61"/>
        <v>1062.16913088</v>
      </c>
      <c r="BC69" s="112">
        <f t="shared" si="61"/>
        <v>1197.354292992</v>
      </c>
      <c r="BD69" s="112">
        <f t="shared" si="61"/>
        <v>1062.16913088</v>
      </c>
      <c r="BE69" s="112">
        <f t="shared" si="61"/>
        <v>997.79524415999981</v>
      </c>
      <c r="BF69" s="112">
        <f t="shared" si="61"/>
        <v>1247.2440552</v>
      </c>
      <c r="BG69" s="112">
        <f t="shared" si="61"/>
        <v>1207.010376</v>
      </c>
      <c r="BH69" s="112">
        <f t="shared" si="61"/>
        <v>1197.354292992</v>
      </c>
      <c r="BI69" s="112">
        <f t="shared" si="61"/>
        <v>869.04747071999998</v>
      </c>
      <c r="BJ69" s="112">
        <f t="shared" si="61"/>
        <v>798.23619532800012</v>
      </c>
      <c r="BK69" s="289">
        <f t="shared" ref="BK69:BK81" si="62">SUM(AY69:BJ69)</f>
        <v>11771.569860336</v>
      </c>
      <c r="BL69" s="112">
        <f t="shared" ref="BL69:BW69" si="63">$F32*BL32</f>
        <v>653.75544397363194</v>
      </c>
      <c r="BM69" s="112">
        <f t="shared" si="63"/>
        <v>695.05451099884795</v>
      </c>
      <c r="BN69" s="112">
        <f t="shared" si="63"/>
        <v>980.63316596044808</v>
      </c>
      <c r="BO69" s="112">
        <f t="shared" si="63"/>
        <v>1159.88869092096</v>
      </c>
      <c r="BP69" s="112">
        <f t="shared" si="63"/>
        <v>1307.5108879472639</v>
      </c>
      <c r="BQ69" s="112">
        <f t="shared" si="63"/>
        <v>1159.88869092096</v>
      </c>
      <c r="BR69" s="112">
        <f t="shared" si="63"/>
        <v>1089.5924066227199</v>
      </c>
      <c r="BS69" s="112">
        <f t="shared" si="63"/>
        <v>1361.9905082784001</v>
      </c>
      <c r="BT69" s="112">
        <f t="shared" si="63"/>
        <v>1318.055330592</v>
      </c>
      <c r="BU69" s="112">
        <f t="shared" si="63"/>
        <v>1307.5108879472639</v>
      </c>
      <c r="BV69" s="112">
        <f t="shared" si="63"/>
        <v>948.99983802624001</v>
      </c>
      <c r="BW69" s="112">
        <f t="shared" si="63"/>
        <v>871.67392529817619</v>
      </c>
      <c r="BX69" s="291">
        <f t="shared" ref="BX69:BX81" si="64">SUM(BL69:BW69)</f>
        <v>12854.554287486915</v>
      </c>
      <c r="BY69" s="103"/>
    </row>
    <row r="70" spans="1:77" ht="15.75" customHeight="1">
      <c r="A70" s="92"/>
      <c r="B70" s="92"/>
      <c r="C70" s="92"/>
      <c r="D70" s="92"/>
      <c r="E70" s="92"/>
      <c r="F70" s="92"/>
      <c r="G70" s="106"/>
      <c r="H70" s="106"/>
      <c r="I70" s="92"/>
      <c r="J70" s="92" t="str">
        <f t="shared" si="50"/>
        <v>Core 3 - Red Ale</v>
      </c>
      <c r="K70" s="92"/>
      <c r="L70" s="112">
        <f t="shared" ref="L70:W70" si="65">$B33*L33</f>
        <v>110.4521142857143</v>
      </c>
      <c r="M70" s="112">
        <f t="shared" si="65"/>
        <v>117.42959999999999</v>
      </c>
      <c r="N70" s="112">
        <f t="shared" si="65"/>
        <v>165.67817142857146</v>
      </c>
      <c r="O70" s="112">
        <f t="shared" si="65"/>
        <v>195.96342857142861</v>
      </c>
      <c r="P70" s="112">
        <f t="shared" si="65"/>
        <v>220.9042285714286</v>
      </c>
      <c r="Q70" s="112">
        <f t="shared" si="65"/>
        <v>195.96342857142861</v>
      </c>
      <c r="R70" s="112">
        <f t="shared" si="65"/>
        <v>184.08685714285716</v>
      </c>
      <c r="S70" s="112">
        <f t="shared" si="65"/>
        <v>230.10857142857148</v>
      </c>
      <c r="T70" s="112">
        <f t="shared" si="65"/>
        <v>222.68571428571428</v>
      </c>
      <c r="U70" s="112">
        <f t="shared" si="65"/>
        <v>220.9042285714286</v>
      </c>
      <c r="V70" s="112">
        <f t="shared" si="65"/>
        <v>160.33371428571431</v>
      </c>
      <c r="W70" s="112">
        <f t="shared" si="65"/>
        <v>147.26948571428574</v>
      </c>
      <c r="X70" s="291">
        <f t="shared" si="20"/>
        <v>2171.779542857143</v>
      </c>
      <c r="Y70" s="112">
        <f t="shared" ref="Y70:AJ70" si="66">$C33*Y33</f>
        <v>127.01993142857143</v>
      </c>
      <c r="Z70" s="112">
        <f t="shared" si="66"/>
        <v>135.04404</v>
      </c>
      <c r="AA70" s="112">
        <f t="shared" si="66"/>
        <v>190.52989714285718</v>
      </c>
      <c r="AB70" s="112">
        <f t="shared" si="66"/>
        <v>225.35794285714286</v>
      </c>
      <c r="AC70" s="112">
        <f t="shared" si="66"/>
        <v>254.03986285714285</v>
      </c>
      <c r="AD70" s="112">
        <f t="shared" si="66"/>
        <v>225.35794285714286</v>
      </c>
      <c r="AE70" s="112">
        <f t="shared" si="66"/>
        <v>211.69988571428573</v>
      </c>
      <c r="AF70" s="112">
        <f t="shared" si="66"/>
        <v>264.62485714285719</v>
      </c>
      <c r="AG70" s="112">
        <f t="shared" si="66"/>
        <v>256.08857142857141</v>
      </c>
      <c r="AH70" s="112">
        <f t="shared" si="66"/>
        <v>254.03986285714285</v>
      </c>
      <c r="AI70" s="112">
        <f t="shared" si="66"/>
        <v>184.38377142857144</v>
      </c>
      <c r="AJ70" s="112">
        <f t="shared" si="66"/>
        <v>169.35990857142858</v>
      </c>
      <c r="AK70" s="291">
        <f t="shared" si="58"/>
        <v>2497.5464742857148</v>
      </c>
      <c r="AL70" s="112">
        <f t="shared" ref="AL70:AW70" si="67">$D33*AL33</f>
        <v>145.31080155428572</v>
      </c>
      <c r="AM70" s="112">
        <f t="shared" si="67"/>
        <v>154.49038175999999</v>
      </c>
      <c r="AN70" s="112">
        <f t="shared" si="67"/>
        <v>217.9662023314286</v>
      </c>
      <c r="AO70" s="112">
        <f t="shared" si="67"/>
        <v>257.80948662857145</v>
      </c>
      <c r="AP70" s="112">
        <f t="shared" si="67"/>
        <v>290.62160310857143</v>
      </c>
      <c r="AQ70" s="112">
        <f t="shared" si="67"/>
        <v>257.80948662857145</v>
      </c>
      <c r="AR70" s="112">
        <f t="shared" si="67"/>
        <v>242.1846692571429</v>
      </c>
      <c r="AS70" s="112">
        <f t="shared" si="67"/>
        <v>302.73083657142865</v>
      </c>
      <c r="AT70" s="112">
        <f t="shared" si="67"/>
        <v>292.96532571428571</v>
      </c>
      <c r="AU70" s="112">
        <f t="shared" si="67"/>
        <v>290.62160310857143</v>
      </c>
      <c r="AV70" s="112">
        <f t="shared" si="67"/>
        <v>210.93503451428572</v>
      </c>
      <c r="AW70" s="112">
        <f t="shared" si="67"/>
        <v>193.74773540571431</v>
      </c>
      <c r="AX70" s="289">
        <f t="shared" si="60"/>
        <v>2857.193166582857</v>
      </c>
      <c r="AY70" s="112">
        <f t="shared" ref="AY70:BJ70" si="68">$E33*AY33</f>
        <v>152.57634163200004</v>
      </c>
      <c r="AZ70" s="112">
        <f t="shared" si="68"/>
        <v>162.21490084800001</v>
      </c>
      <c r="BA70" s="112">
        <f t="shared" si="68"/>
        <v>228.86451244800006</v>
      </c>
      <c r="BB70" s="112">
        <f t="shared" si="68"/>
        <v>270.69996096000006</v>
      </c>
      <c r="BC70" s="112">
        <f t="shared" si="68"/>
        <v>305.15268326400007</v>
      </c>
      <c r="BD70" s="112">
        <f t="shared" si="68"/>
        <v>270.69996096000006</v>
      </c>
      <c r="BE70" s="112">
        <f t="shared" si="68"/>
        <v>254.29390272000006</v>
      </c>
      <c r="BF70" s="112">
        <f t="shared" si="68"/>
        <v>317.86737840000012</v>
      </c>
      <c r="BG70" s="112">
        <f t="shared" si="68"/>
        <v>307.61359199999998</v>
      </c>
      <c r="BH70" s="112">
        <f t="shared" si="68"/>
        <v>305.15268326400007</v>
      </c>
      <c r="BI70" s="112">
        <f t="shared" si="68"/>
        <v>221.48178624000002</v>
      </c>
      <c r="BJ70" s="112">
        <f t="shared" si="68"/>
        <v>203.43512217600002</v>
      </c>
      <c r="BK70" s="289">
        <f t="shared" si="62"/>
        <v>3000.0528249120002</v>
      </c>
      <c r="BL70" s="112">
        <f t="shared" ref="BL70:BW70" si="69">$F33*BL33</f>
        <v>166.61336506214406</v>
      </c>
      <c r="BM70" s="112">
        <f t="shared" si="69"/>
        <v>177.13867172601601</v>
      </c>
      <c r="BN70" s="112">
        <f t="shared" si="69"/>
        <v>249.92004759321608</v>
      </c>
      <c r="BO70" s="112">
        <f t="shared" si="69"/>
        <v>295.60435736832005</v>
      </c>
      <c r="BP70" s="112">
        <f t="shared" si="69"/>
        <v>333.22673012428811</v>
      </c>
      <c r="BQ70" s="112">
        <f t="shared" si="69"/>
        <v>295.60435736832005</v>
      </c>
      <c r="BR70" s="112">
        <f t="shared" si="69"/>
        <v>277.68894177024009</v>
      </c>
      <c r="BS70" s="112">
        <f t="shared" si="69"/>
        <v>347.11117721280021</v>
      </c>
      <c r="BT70" s="112">
        <f t="shared" si="69"/>
        <v>335.91404246400003</v>
      </c>
      <c r="BU70" s="112">
        <f t="shared" si="69"/>
        <v>333.22673012428811</v>
      </c>
      <c r="BV70" s="112">
        <f t="shared" si="69"/>
        <v>241.85811057408006</v>
      </c>
      <c r="BW70" s="112">
        <f t="shared" si="69"/>
        <v>222.15115341619207</v>
      </c>
      <c r="BX70" s="291">
        <f t="shared" si="64"/>
        <v>3276.0576848039045</v>
      </c>
      <c r="BY70" s="103"/>
    </row>
    <row r="71" spans="1:77" ht="15.75" customHeight="1">
      <c r="A71" s="92"/>
      <c r="B71" s="92"/>
      <c r="C71" s="92"/>
      <c r="D71" s="92"/>
      <c r="E71" s="92"/>
      <c r="F71" s="92"/>
      <c r="G71" s="106"/>
      <c r="H71" s="106"/>
      <c r="I71" s="92"/>
      <c r="J71" s="92" t="str">
        <f t="shared" si="50"/>
        <v>Core 4 - Dark (Porter?)</v>
      </c>
      <c r="K71" s="92"/>
      <c r="L71" s="112">
        <f t="shared" ref="L71:W71" si="70">$B34*L34</f>
        <v>144.46354285714287</v>
      </c>
      <c r="M71" s="112">
        <f t="shared" si="70"/>
        <v>153.58959999999996</v>
      </c>
      <c r="N71" s="112">
        <f t="shared" si="70"/>
        <v>216.69531428571429</v>
      </c>
      <c r="O71" s="112">
        <f t="shared" si="70"/>
        <v>256.30628571428571</v>
      </c>
      <c r="P71" s="112">
        <f t="shared" si="70"/>
        <v>288.92708571428574</v>
      </c>
      <c r="Q71" s="112">
        <f t="shared" si="70"/>
        <v>256.30628571428571</v>
      </c>
      <c r="R71" s="112">
        <f t="shared" si="70"/>
        <v>240.77257142857144</v>
      </c>
      <c r="S71" s="112">
        <f t="shared" si="70"/>
        <v>300.96571428571434</v>
      </c>
      <c r="T71" s="112">
        <f t="shared" si="70"/>
        <v>291.25714285714281</v>
      </c>
      <c r="U71" s="112">
        <f t="shared" si="70"/>
        <v>288.92708571428574</v>
      </c>
      <c r="V71" s="112">
        <f t="shared" si="70"/>
        <v>209.70514285714285</v>
      </c>
      <c r="W71" s="112">
        <f t="shared" si="70"/>
        <v>192.61805714285714</v>
      </c>
      <c r="X71" s="291">
        <f t="shared" si="20"/>
        <v>2840.5338285714283</v>
      </c>
      <c r="Y71" s="112">
        <f t="shared" ref="Y71:AJ71" si="71">$C34*Y34</f>
        <v>166.13307428571426</v>
      </c>
      <c r="Z71" s="112">
        <f t="shared" si="71"/>
        <v>176.62803999999997</v>
      </c>
      <c r="AA71" s="112">
        <f t="shared" si="71"/>
        <v>249.19961142857144</v>
      </c>
      <c r="AB71" s="112">
        <f t="shared" si="71"/>
        <v>294.75222857142853</v>
      </c>
      <c r="AC71" s="112">
        <f t="shared" si="71"/>
        <v>332.26614857142852</v>
      </c>
      <c r="AD71" s="112">
        <f t="shared" si="71"/>
        <v>294.75222857142853</v>
      </c>
      <c r="AE71" s="112">
        <f t="shared" si="71"/>
        <v>276.88845714285713</v>
      </c>
      <c r="AF71" s="112">
        <f t="shared" si="71"/>
        <v>346.11057142857146</v>
      </c>
      <c r="AG71" s="112">
        <f t="shared" si="71"/>
        <v>334.94571428571419</v>
      </c>
      <c r="AH71" s="112">
        <f t="shared" si="71"/>
        <v>332.26614857142852</v>
      </c>
      <c r="AI71" s="112">
        <f t="shared" si="71"/>
        <v>241.16091428571426</v>
      </c>
      <c r="AJ71" s="112">
        <f t="shared" si="71"/>
        <v>221.5107657142857</v>
      </c>
      <c r="AK71" s="291">
        <f t="shared" si="58"/>
        <v>3266.613902857142</v>
      </c>
      <c r="AL71" s="112">
        <f t="shared" ref="AL71:AW71" si="72">$D34*AL34</f>
        <v>190.05623698285714</v>
      </c>
      <c r="AM71" s="112">
        <f t="shared" si="72"/>
        <v>202.06247775999998</v>
      </c>
      <c r="AN71" s="112">
        <f t="shared" si="72"/>
        <v>285.08435547428576</v>
      </c>
      <c r="AO71" s="112">
        <f t="shared" si="72"/>
        <v>337.19654948571429</v>
      </c>
      <c r="AP71" s="112">
        <f t="shared" si="72"/>
        <v>380.11247396571429</v>
      </c>
      <c r="AQ71" s="112">
        <f t="shared" si="72"/>
        <v>337.19654948571429</v>
      </c>
      <c r="AR71" s="112">
        <f t="shared" si="72"/>
        <v>316.76039497142858</v>
      </c>
      <c r="AS71" s="112">
        <f t="shared" si="72"/>
        <v>395.95049371428581</v>
      </c>
      <c r="AT71" s="112">
        <f t="shared" si="72"/>
        <v>383.17789714285709</v>
      </c>
      <c r="AU71" s="112">
        <f t="shared" si="72"/>
        <v>380.11247396571429</v>
      </c>
      <c r="AV71" s="112">
        <f t="shared" si="72"/>
        <v>275.88808594285712</v>
      </c>
      <c r="AW71" s="112">
        <f t="shared" si="72"/>
        <v>253.40831597714288</v>
      </c>
      <c r="AX71" s="289">
        <f t="shared" si="60"/>
        <v>3737.0063048685715</v>
      </c>
      <c r="AY71" s="112">
        <f t="shared" ref="AY71:BJ71" si="73">$E34*AY34</f>
        <v>199.55904883200003</v>
      </c>
      <c r="AZ71" s="112">
        <f t="shared" si="73"/>
        <v>212.16560164799998</v>
      </c>
      <c r="BA71" s="112">
        <f t="shared" si="73"/>
        <v>299.33857324800005</v>
      </c>
      <c r="BB71" s="112">
        <f t="shared" si="73"/>
        <v>354.05637696000002</v>
      </c>
      <c r="BC71" s="112">
        <f t="shared" si="73"/>
        <v>399.11809766400006</v>
      </c>
      <c r="BD71" s="112">
        <f t="shared" si="73"/>
        <v>354.05637696000002</v>
      </c>
      <c r="BE71" s="112">
        <f t="shared" si="73"/>
        <v>332.59841472000005</v>
      </c>
      <c r="BF71" s="112">
        <f t="shared" si="73"/>
        <v>415.74801840000009</v>
      </c>
      <c r="BG71" s="112">
        <f t="shared" si="73"/>
        <v>402.33679199999995</v>
      </c>
      <c r="BH71" s="112">
        <f t="shared" si="73"/>
        <v>399.11809766400006</v>
      </c>
      <c r="BI71" s="112">
        <f t="shared" si="73"/>
        <v>289.68249023999999</v>
      </c>
      <c r="BJ71" s="112">
        <f t="shared" si="73"/>
        <v>266.07873177600004</v>
      </c>
      <c r="BK71" s="289">
        <f t="shared" si="62"/>
        <v>3923.8566201120002</v>
      </c>
      <c r="BL71" s="112">
        <f t="shared" ref="BL71:BW71" si="74">$F34*BL34</f>
        <v>217.91848132454405</v>
      </c>
      <c r="BM71" s="112">
        <f t="shared" si="74"/>
        <v>231.68483699961598</v>
      </c>
      <c r="BN71" s="112">
        <f t="shared" si="74"/>
        <v>326.87772198681603</v>
      </c>
      <c r="BO71" s="112">
        <f t="shared" si="74"/>
        <v>386.62956364031999</v>
      </c>
      <c r="BP71" s="112">
        <f t="shared" si="74"/>
        <v>435.83696264908809</v>
      </c>
      <c r="BQ71" s="112">
        <f t="shared" si="74"/>
        <v>386.62956364031999</v>
      </c>
      <c r="BR71" s="112">
        <f t="shared" si="74"/>
        <v>363.19746887424003</v>
      </c>
      <c r="BS71" s="112">
        <f t="shared" si="74"/>
        <v>453.99683609280015</v>
      </c>
      <c r="BT71" s="112">
        <f t="shared" si="74"/>
        <v>439.35177686399993</v>
      </c>
      <c r="BU71" s="112">
        <f t="shared" si="74"/>
        <v>435.83696264908809</v>
      </c>
      <c r="BV71" s="112">
        <f t="shared" si="74"/>
        <v>316.33327934208</v>
      </c>
      <c r="BW71" s="112">
        <f t="shared" si="74"/>
        <v>290.55797509939202</v>
      </c>
      <c r="BX71" s="291">
        <f t="shared" si="64"/>
        <v>4284.8514291623042</v>
      </c>
      <c r="BY71" s="103"/>
    </row>
    <row r="72" spans="1:77" ht="15.75" customHeight="1">
      <c r="A72" s="92"/>
      <c r="B72" s="92"/>
      <c r="C72" s="92"/>
      <c r="D72" s="92"/>
      <c r="E72" s="92"/>
      <c r="F72" s="92"/>
      <c r="G72" s="106"/>
      <c r="H72" s="106"/>
      <c r="I72" s="92"/>
      <c r="J72" s="92" t="str">
        <f t="shared" si="50"/>
        <v>Rotating Sour</v>
      </c>
      <c r="K72" s="92"/>
      <c r="L72" s="112">
        <f t="shared" ref="L72:W72" si="75">$B35*L35</f>
        <v>55.226057142857151</v>
      </c>
      <c r="M72" s="112">
        <f t="shared" si="75"/>
        <v>58.714799999999997</v>
      </c>
      <c r="N72" s="112">
        <f t="shared" si="75"/>
        <v>82.83908571428573</v>
      </c>
      <c r="O72" s="112">
        <f t="shared" si="75"/>
        <v>97.981714285714304</v>
      </c>
      <c r="P72" s="112">
        <f t="shared" si="75"/>
        <v>110.4521142857143</v>
      </c>
      <c r="Q72" s="112">
        <f t="shared" si="75"/>
        <v>97.981714285714304</v>
      </c>
      <c r="R72" s="112">
        <f t="shared" si="75"/>
        <v>92.043428571428578</v>
      </c>
      <c r="S72" s="112">
        <f t="shared" si="75"/>
        <v>115.05428571428574</v>
      </c>
      <c r="T72" s="112">
        <f t="shared" si="75"/>
        <v>111.34285714285714</v>
      </c>
      <c r="U72" s="112">
        <f t="shared" si="75"/>
        <v>110.4521142857143</v>
      </c>
      <c r="V72" s="112">
        <f t="shared" si="75"/>
        <v>80.166857142857154</v>
      </c>
      <c r="W72" s="112">
        <f t="shared" si="75"/>
        <v>73.634742857142868</v>
      </c>
      <c r="X72" s="291">
        <f t="shared" si="20"/>
        <v>1085.8897714285715</v>
      </c>
      <c r="Y72" s="112">
        <f t="shared" ref="Y72:AJ72" si="76">$C35*Y35</f>
        <v>63.509965714285713</v>
      </c>
      <c r="Z72" s="112">
        <f t="shared" si="76"/>
        <v>67.522019999999998</v>
      </c>
      <c r="AA72" s="112">
        <f t="shared" si="76"/>
        <v>95.26494857142859</v>
      </c>
      <c r="AB72" s="112">
        <f t="shared" si="76"/>
        <v>112.67897142857143</v>
      </c>
      <c r="AC72" s="112">
        <f t="shared" si="76"/>
        <v>127.01993142857143</v>
      </c>
      <c r="AD72" s="112">
        <f t="shared" si="76"/>
        <v>112.67897142857143</v>
      </c>
      <c r="AE72" s="112">
        <f t="shared" si="76"/>
        <v>105.84994285714286</v>
      </c>
      <c r="AF72" s="112">
        <f t="shared" si="76"/>
        <v>132.3124285714286</v>
      </c>
      <c r="AG72" s="112">
        <f t="shared" si="76"/>
        <v>128.04428571428571</v>
      </c>
      <c r="AH72" s="112">
        <f t="shared" si="76"/>
        <v>127.01993142857143</v>
      </c>
      <c r="AI72" s="112">
        <f t="shared" si="76"/>
        <v>92.191885714285718</v>
      </c>
      <c r="AJ72" s="112">
        <f t="shared" si="76"/>
        <v>84.679954285714288</v>
      </c>
      <c r="AK72" s="291">
        <f t="shared" si="58"/>
        <v>1248.7732371428574</v>
      </c>
      <c r="AL72" s="112">
        <f t="shared" ref="AL72:AW72" si="77">$D35*AL35</f>
        <v>72.655400777142859</v>
      </c>
      <c r="AM72" s="112">
        <f t="shared" si="77"/>
        <v>77.245190879999996</v>
      </c>
      <c r="AN72" s="112">
        <f t="shared" si="77"/>
        <v>108.9831011657143</v>
      </c>
      <c r="AO72" s="112">
        <f t="shared" si="77"/>
        <v>128.90474331428572</v>
      </c>
      <c r="AP72" s="112">
        <f t="shared" si="77"/>
        <v>145.31080155428572</v>
      </c>
      <c r="AQ72" s="112">
        <f t="shared" si="77"/>
        <v>128.90474331428572</v>
      </c>
      <c r="AR72" s="112">
        <f t="shared" si="77"/>
        <v>121.09233462857145</v>
      </c>
      <c r="AS72" s="112">
        <f t="shared" si="77"/>
        <v>151.36541828571433</v>
      </c>
      <c r="AT72" s="112">
        <f t="shared" si="77"/>
        <v>146.48266285714286</v>
      </c>
      <c r="AU72" s="112">
        <f t="shared" si="77"/>
        <v>145.31080155428572</v>
      </c>
      <c r="AV72" s="112">
        <f t="shared" si="77"/>
        <v>105.46751725714286</v>
      </c>
      <c r="AW72" s="112">
        <f t="shared" si="77"/>
        <v>96.873867702857154</v>
      </c>
      <c r="AX72" s="289">
        <f t="shared" si="60"/>
        <v>1428.5965832914285</v>
      </c>
      <c r="AY72" s="112">
        <f t="shared" ref="AY72:BJ72" si="78">$E35*AY35</f>
        <v>76.288170816000019</v>
      </c>
      <c r="AZ72" s="112">
        <f t="shared" si="78"/>
        <v>81.107450424000007</v>
      </c>
      <c r="BA72" s="112">
        <f t="shared" si="78"/>
        <v>114.43225622400003</v>
      </c>
      <c r="BB72" s="112">
        <f t="shared" si="78"/>
        <v>135.34998048000003</v>
      </c>
      <c r="BC72" s="112">
        <f t="shared" si="78"/>
        <v>152.57634163200004</v>
      </c>
      <c r="BD72" s="112">
        <f t="shared" si="78"/>
        <v>135.34998048000003</v>
      </c>
      <c r="BE72" s="112">
        <f t="shared" si="78"/>
        <v>127.14695136000003</v>
      </c>
      <c r="BF72" s="112">
        <f t="shared" si="78"/>
        <v>158.93368920000006</v>
      </c>
      <c r="BG72" s="112">
        <f t="shared" si="78"/>
        <v>153.80679599999999</v>
      </c>
      <c r="BH72" s="112">
        <f t="shared" si="78"/>
        <v>152.57634163200004</v>
      </c>
      <c r="BI72" s="112">
        <f t="shared" si="78"/>
        <v>110.74089312000001</v>
      </c>
      <c r="BJ72" s="112">
        <f t="shared" si="78"/>
        <v>101.71756108800001</v>
      </c>
      <c r="BK72" s="289">
        <f t="shared" si="62"/>
        <v>1500.0264124560001</v>
      </c>
      <c r="BL72" s="112">
        <f t="shared" ref="BL72:BW72" si="79">$F35*BL35</f>
        <v>83.306682531072028</v>
      </c>
      <c r="BM72" s="112">
        <f t="shared" si="79"/>
        <v>88.569335863008007</v>
      </c>
      <c r="BN72" s="112">
        <f t="shared" si="79"/>
        <v>124.96002379660804</v>
      </c>
      <c r="BO72" s="112">
        <f t="shared" si="79"/>
        <v>147.80217868416003</v>
      </c>
      <c r="BP72" s="112">
        <f t="shared" si="79"/>
        <v>166.61336506214406</v>
      </c>
      <c r="BQ72" s="112">
        <f t="shared" si="79"/>
        <v>147.80217868416003</v>
      </c>
      <c r="BR72" s="112">
        <f t="shared" si="79"/>
        <v>138.84447088512005</v>
      </c>
      <c r="BS72" s="112">
        <f t="shared" si="79"/>
        <v>173.55558860640011</v>
      </c>
      <c r="BT72" s="112">
        <f t="shared" si="79"/>
        <v>167.95702123200002</v>
      </c>
      <c r="BU72" s="112">
        <f t="shared" si="79"/>
        <v>166.61336506214406</v>
      </c>
      <c r="BV72" s="112">
        <f t="shared" si="79"/>
        <v>120.92905528704003</v>
      </c>
      <c r="BW72" s="112">
        <f t="shared" si="79"/>
        <v>111.07557670809604</v>
      </c>
      <c r="BX72" s="291">
        <f t="shared" si="64"/>
        <v>1638.0288424019523</v>
      </c>
      <c r="BY72" s="103"/>
    </row>
    <row r="73" spans="1:77" ht="15.75" customHeight="1">
      <c r="A73" s="92"/>
      <c r="B73" s="92"/>
      <c r="C73" s="92"/>
      <c r="D73" s="92"/>
      <c r="E73" s="92"/>
      <c r="F73" s="92"/>
      <c r="G73" s="106"/>
      <c r="H73" s="106"/>
      <c r="I73" s="92"/>
      <c r="J73" s="92" t="str">
        <f t="shared" si="50"/>
        <v>Seasonal #1</v>
      </c>
      <c r="K73" s="92"/>
      <c r="L73" s="112">
        <f t="shared" ref="L73:W73" si="80">$B36*L36</f>
        <v>72.231771428571435</v>
      </c>
      <c r="M73" s="112">
        <f t="shared" si="80"/>
        <v>76.794799999999981</v>
      </c>
      <c r="N73" s="112">
        <f t="shared" si="80"/>
        <v>108.34765714285714</v>
      </c>
      <c r="O73" s="112">
        <f t="shared" si="80"/>
        <v>128.15314285714285</v>
      </c>
      <c r="P73" s="112">
        <f t="shared" si="80"/>
        <v>144.46354285714287</v>
      </c>
      <c r="Q73" s="112">
        <f t="shared" si="80"/>
        <v>128.15314285714285</v>
      </c>
      <c r="R73" s="112">
        <f t="shared" si="80"/>
        <v>120.38628571428572</v>
      </c>
      <c r="S73" s="112">
        <f t="shared" si="80"/>
        <v>150.48285714285717</v>
      </c>
      <c r="T73" s="112">
        <f t="shared" si="80"/>
        <v>145.62857142857141</v>
      </c>
      <c r="U73" s="112">
        <f t="shared" si="80"/>
        <v>144.46354285714287</v>
      </c>
      <c r="V73" s="112">
        <f t="shared" si="80"/>
        <v>104.85257142857142</v>
      </c>
      <c r="W73" s="112">
        <f t="shared" si="80"/>
        <v>96.30902857142857</v>
      </c>
      <c r="X73" s="291">
        <f t="shared" si="20"/>
        <v>1420.2669142857142</v>
      </c>
      <c r="Y73" s="112">
        <f t="shared" ref="Y73:AJ73" si="81">$C36*Y36</f>
        <v>83.066537142857129</v>
      </c>
      <c r="Z73" s="112">
        <f t="shared" si="81"/>
        <v>88.314019999999985</v>
      </c>
      <c r="AA73" s="112">
        <f t="shared" si="81"/>
        <v>124.59980571428572</v>
      </c>
      <c r="AB73" s="112">
        <f t="shared" si="81"/>
        <v>147.37611428571427</v>
      </c>
      <c r="AC73" s="112">
        <f t="shared" si="81"/>
        <v>166.13307428571426</v>
      </c>
      <c r="AD73" s="112">
        <f t="shared" si="81"/>
        <v>147.37611428571427</v>
      </c>
      <c r="AE73" s="112">
        <f t="shared" si="81"/>
        <v>138.44422857142857</v>
      </c>
      <c r="AF73" s="112">
        <f t="shared" si="81"/>
        <v>173.05528571428573</v>
      </c>
      <c r="AG73" s="112">
        <f t="shared" si="81"/>
        <v>167.47285714285709</v>
      </c>
      <c r="AH73" s="112">
        <f t="shared" si="81"/>
        <v>166.13307428571426</v>
      </c>
      <c r="AI73" s="112">
        <f t="shared" si="81"/>
        <v>120.58045714285713</v>
      </c>
      <c r="AJ73" s="112">
        <f t="shared" si="81"/>
        <v>110.75538285714285</v>
      </c>
      <c r="AK73" s="291">
        <f t="shared" si="58"/>
        <v>1633.306951428571</v>
      </c>
      <c r="AL73" s="112">
        <f t="shared" ref="AL73:AW73" si="82">$D36*AL36</f>
        <v>95.028118491428572</v>
      </c>
      <c r="AM73" s="112">
        <f t="shared" si="82"/>
        <v>101.03123887999999</v>
      </c>
      <c r="AN73" s="112">
        <f t="shared" si="82"/>
        <v>142.54217773714288</v>
      </c>
      <c r="AO73" s="112">
        <f t="shared" si="82"/>
        <v>168.59827474285714</v>
      </c>
      <c r="AP73" s="112">
        <f t="shared" si="82"/>
        <v>190.05623698285714</v>
      </c>
      <c r="AQ73" s="112">
        <f t="shared" si="82"/>
        <v>168.59827474285714</v>
      </c>
      <c r="AR73" s="112">
        <f t="shared" si="82"/>
        <v>158.38019748571429</v>
      </c>
      <c r="AS73" s="112">
        <f t="shared" si="82"/>
        <v>197.97524685714291</v>
      </c>
      <c r="AT73" s="112">
        <f t="shared" si="82"/>
        <v>191.58894857142855</v>
      </c>
      <c r="AU73" s="112">
        <f t="shared" si="82"/>
        <v>190.05623698285714</v>
      </c>
      <c r="AV73" s="112">
        <f t="shared" si="82"/>
        <v>137.94404297142856</v>
      </c>
      <c r="AW73" s="112">
        <f t="shared" si="82"/>
        <v>126.70415798857144</v>
      </c>
      <c r="AX73" s="289">
        <f t="shared" si="60"/>
        <v>1868.5031524342858</v>
      </c>
      <c r="AY73" s="112">
        <f t="shared" ref="AY73:BJ73" si="83">$E36*AY36</f>
        <v>99.779524416000015</v>
      </c>
      <c r="AZ73" s="112">
        <f t="shared" si="83"/>
        <v>106.08280082399999</v>
      </c>
      <c r="BA73" s="112">
        <f t="shared" si="83"/>
        <v>149.66928662400002</v>
      </c>
      <c r="BB73" s="112">
        <f t="shared" si="83"/>
        <v>177.02818848000001</v>
      </c>
      <c r="BC73" s="112">
        <f t="shared" si="83"/>
        <v>199.55904883200003</v>
      </c>
      <c r="BD73" s="112">
        <f t="shared" si="83"/>
        <v>177.02818848000001</v>
      </c>
      <c r="BE73" s="112">
        <f t="shared" si="83"/>
        <v>166.29920736000003</v>
      </c>
      <c r="BF73" s="112">
        <f t="shared" si="83"/>
        <v>207.87400920000005</v>
      </c>
      <c r="BG73" s="112">
        <f t="shared" si="83"/>
        <v>201.16839599999997</v>
      </c>
      <c r="BH73" s="112">
        <f t="shared" si="83"/>
        <v>199.55904883200003</v>
      </c>
      <c r="BI73" s="112">
        <f t="shared" si="83"/>
        <v>144.84124512</v>
      </c>
      <c r="BJ73" s="112">
        <f t="shared" si="83"/>
        <v>133.03936588800002</v>
      </c>
      <c r="BK73" s="289">
        <f t="shared" si="62"/>
        <v>1961.9283100560001</v>
      </c>
      <c r="BL73" s="112">
        <f t="shared" ref="BL73:BW73" si="84">$F36*BL36</f>
        <v>108.95924066227202</v>
      </c>
      <c r="BM73" s="112">
        <f t="shared" si="84"/>
        <v>115.84241849980799</v>
      </c>
      <c r="BN73" s="112">
        <f t="shared" si="84"/>
        <v>163.43886099340801</v>
      </c>
      <c r="BO73" s="112">
        <f t="shared" si="84"/>
        <v>193.31478182015999</v>
      </c>
      <c r="BP73" s="112">
        <f t="shared" si="84"/>
        <v>217.91848132454405</v>
      </c>
      <c r="BQ73" s="112">
        <f t="shared" si="84"/>
        <v>193.31478182015999</v>
      </c>
      <c r="BR73" s="112">
        <f t="shared" si="84"/>
        <v>181.59873443712002</v>
      </c>
      <c r="BS73" s="112">
        <f t="shared" si="84"/>
        <v>226.99841804640008</v>
      </c>
      <c r="BT73" s="112">
        <f t="shared" si="84"/>
        <v>219.67588843199997</v>
      </c>
      <c r="BU73" s="112">
        <f t="shared" si="84"/>
        <v>217.91848132454405</v>
      </c>
      <c r="BV73" s="112">
        <f t="shared" si="84"/>
        <v>158.16663967104</v>
      </c>
      <c r="BW73" s="112">
        <f t="shared" si="84"/>
        <v>145.27898754969601</v>
      </c>
      <c r="BX73" s="291">
        <f t="shared" si="64"/>
        <v>2142.4257145811521</v>
      </c>
      <c r="BY73" s="103"/>
    </row>
    <row r="74" spans="1:77" ht="15.75" customHeight="1">
      <c r="A74" s="92"/>
      <c r="B74" s="92"/>
      <c r="C74" s="92"/>
      <c r="D74" s="92"/>
      <c r="E74" s="92"/>
      <c r="F74" s="92"/>
      <c r="G74" s="106"/>
      <c r="H74" s="106"/>
      <c r="I74" s="92"/>
      <c r="J74" s="92" t="str">
        <f t="shared" si="50"/>
        <v>Seasonal #2</v>
      </c>
      <c r="K74" s="92"/>
      <c r="L74" s="112">
        <f t="shared" ref="L74:W74" si="85">$B37*L37</f>
        <v>72.231771428571435</v>
      </c>
      <c r="M74" s="112">
        <f t="shared" si="85"/>
        <v>76.794799999999981</v>
      </c>
      <c r="N74" s="112">
        <f t="shared" si="85"/>
        <v>108.34765714285714</v>
      </c>
      <c r="O74" s="112">
        <f t="shared" si="85"/>
        <v>128.15314285714285</v>
      </c>
      <c r="P74" s="112">
        <f t="shared" si="85"/>
        <v>144.46354285714287</v>
      </c>
      <c r="Q74" s="112">
        <f t="shared" si="85"/>
        <v>128.15314285714285</v>
      </c>
      <c r="R74" s="112">
        <f t="shared" si="85"/>
        <v>120.38628571428572</v>
      </c>
      <c r="S74" s="112">
        <f t="shared" si="85"/>
        <v>150.48285714285717</v>
      </c>
      <c r="T74" s="112">
        <f t="shared" si="85"/>
        <v>145.62857142857141</v>
      </c>
      <c r="U74" s="112">
        <f t="shared" si="85"/>
        <v>144.46354285714287</v>
      </c>
      <c r="V74" s="112">
        <f t="shared" si="85"/>
        <v>104.85257142857142</v>
      </c>
      <c r="W74" s="112">
        <f t="shared" si="85"/>
        <v>96.30902857142857</v>
      </c>
      <c r="X74" s="291">
        <f t="shared" si="20"/>
        <v>1420.2669142857142</v>
      </c>
      <c r="Y74" s="112">
        <f t="shared" ref="Y74:AJ74" si="86">$C37*Y37</f>
        <v>83.066537142857129</v>
      </c>
      <c r="Z74" s="112">
        <f t="shared" si="86"/>
        <v>88.314019999999985</v>
      </c>
      <c r="AA74" s="112">
        <f t="shared" si="86"/>
        <v>124.59980571428572</v>
      </c>
      <c r="AB74" s="112">
        <f t="shared" si="86"/>
        <v>147.37611428571427</v>
      </c>
      <c r="AC74" s="112">
        <f t="shared" si="86"/>
        <v>166.13307428571426</v>
      </c>
      <c r="AD74" s="112">
        <f t="shared" si="86"/>
        <v>147.37611428571427</v>
      </c>
      <c r="AE74" s="112">
        <f t="shared" si="86"/>
        <v>138.44422857142857</v>
      </c>
      <c r="AF74" s="112">
        <f t="shared" si="86"/>
        <v>173.05528571428573</v>
      </c>
      <c r="AG74" s="112">
        <f t="shared" si="86"/>
        <v>167.47285714285709</v>
      </c>
      <c r="AH74" s="112">
        <f t="shared" si="86"/>
        <v>166.13307428571426</v>
      </c>
      <c r="AI74" s="112">
        <f t="shared" si="86"/>
        <v>120.58045714285713</v>
      </c>
      <c r="AJ74" s="112">
        <f t="shared" si="86"/>
        <v>110.75538285714285</v>
      </c>
      <c r="AK74" s="291">
        <f t="shared" si="58"/>
        <v>1633.306951428571</v>
      </c>
      <c r="AL74" s="112">
        <f t="shared" ref="AL74:AW74" si="87">$D37*AL37</f>
        <v>95.028118491428572</v>
      </c>
      <c r="AM74" s="112">
        <f t="shared" si="87"/>
        <v>101.03123887999999</v>
      </c>
      <c r="AN74" s="112">
        <f t="shared" si="87"/>
        <v>142.54217773714288</v>
      </c>
      <c r="AO74" s="112">
        <f t="shared" si="87"/>
        <v>168.59827474285714</v>
      </c>
      <c r="AP74" s="112">
        <f t="shared" si="87"/>
        <v>190.05623698285714</v>
      </c>
      <c r="AQ74" s="112">
        <f t="shared" si="87"/>
        <v>168.59827474285714</v>
      </c>
      <c r="AR74" s="112">
        <f t="shared" si="87"/>
        <v>158.38019748571429</v>
      </c>
      <c r="AS74" s="112">
        <f t="shared" si="87"/>
        <v>197.97524685714291</v>
      </c>
      <c r="AT74" s="112">
        <f t="shared" si="87"/>
        <v>191.58894857142855</v>
      </c>
      <c r="AU74" s="112">
        <f t="shared" si="87"/>
        <v>190.05623698285714</v>
      </c>
      <c r="AV74" s="112">
        <f t="shared" si="87"/>
        <v>137.94404297142856</v>
      </c>
      <c r="AW74" s="112">
        <f t="shared" si="87"/>
        <v>126.70415798857144</v>
      </c>
      <c r="AX74" s="289">
        <f t="shared" si="60"/>
        <v>1868.5031524342858</v>
      </c>
      <c r="AY74" s="112">
        <f t="shared" ref="AY74:BJ74" si="88">$E37*AY37</f>
        <v>99.779524416000015</v>
      </c>
      <c r="AZ74" s="112">
        <f t="shared" si="88"/>
        <v>106.08280082399999</v>
      </c>
      <c r="BA74" s="112">
        <f t="shared" si="88"/>
        <v>149.66928662400002</v>
      </c>
      <c r="BB74" s="112">
        <f t="shared" si="88"/>
        <v>177.02818848000001</v>
      </c>
      <c r="BC74" s="112">
        <f t="shared" si="88"/>
        <v>199.55904883200003</v>
      </c>
      <c r="BD74" s="112">
        <f t="shared" si="88"/>
        <v>177.02818848000001</v>
      </c>
      <c r="BE74" s="112">
        <f t="shared" si="88"/>
        <v>166.29920736000003</v>
      </c>
      <c r="BF74" s="112">
        <f t="shared" si="88"/>
        <v>207.87400920000005</v>
      </c>
      <c r="BG74" s="112">
        <f t="shared" si="88"/>
        <v>201.16839599999997</v>
      </c>
      <c r="BH74" s="112">
        <f t="shared" si="88"/>
        <v>199.55904883200003</v>
      </c>
      <c r="BI74" s="112">
        <f t="shared" si="88"/>
        <v>144.84124512</v>
      </c>
      <c r="BJ74" s="112">
        <f t="shared" si="88"/>
        <v>133.03936588800002</v>
      </c>
      <c r="BK74" s="289">
        <f t="shared" si="62"/>
        <v>1961.9283100560001</v>
      </c>
      <c r="BL74" s="112">
        <f t="shared" ref="BL74:BW74" si="89">$F37*BL37</f>
        <v>108.95924066227202</v>
      </c>
      <c r="BM74" s="112">
        <f t="shared" si="89"/>
        <v>115.84241849980799</v>
      </c>
      <c r="BN74" s="112">
        <f t="shared" si="89"/>
        <v>163.43886099340801</v>
      </c>
      <c r="BO74" s="112">
        <f t="shared" si="89"/>
        <v>193.31478182015999</v>
      </c>
      <c r="BP74" s="112">
        <f t="shared" si="89"/>
        <v>217.91848132454405</v>
      </c>
      <c r="BQ74" s="112">
        <f t="shared" si="89"/>
        <v>193.31478182015999</v>
      </c>
      <c r="BR74" s="112">
        <f t="shared" si="89"/>
        <v>181.59873443712002</v>
      </c>
      <c r="BS74" s="112">
        <f t="shared" si="89"/>
        <v>226.99841804640008</v>
      </c>
      <c r="BT74" s="112">
        <f t="shared" si="89"/>
        <v>219.67588843199997</v>
      </c>
      <c r="BU74" s="112">
        <f t="shared" si="89"/>
        <v>217.91848132454405</v>
      </c>
      <c r="BV74" s="112">
        <f t="shared" si="89"/>
        <v>158.16663967104</v>
      </c>
      <c r="BW74" s="112">
        <f t="shared" si="89"/>
        <v>145.27898754969601</v>
      </c>
      <c r="BX74" s="291">
        <f t="shared" si="64"/>
        <v>2142.4257145811521</v>
      </c>
      <c r="BY74" s="103"/>
    </row>
    <row r="75" spans="1:77" ht="15.75" customHeight="1">
      <c r="A75" s="92"/>
      <c r="B75" s="92"/>
      <c r="C75" s="92"/>
      <c r="D75" s="92"/>
      <c r="E75" s="92"/>
      <c r="F75" s="92"/>
      <c r="G75" s="106"/>
      <c r="H75" s="106"/>
      <c r="I75" s="92"/>
      <c r="J75" s="92" t="str">
        <f t="shared" si="50"/>
        <v>Rotating IPA #1</v>
      </c>
      <c r="K75" s="92"/>
      <c r="L75" s="112">
        <f t="shared" ref="L75:W75" si="90">$B38*L38</f>
        <v>144.46354285714287</v>
      </c>
      <c r="M75" s="112">
        <f t="shared" si="90"/>
        <v>153.58959999999996</v>
      </c>
      <c r="N75" s="112">
        <f t="shared" si="90"/>
        <v>216.69531428571429</v>
      </c>
      <c r="O75" s="112">
        <f t="shared" si="90"/>
        <v>256.30628571428571</v>
      </c>
      <c r="P75" s="112">
        <f t="shared" si="90"/>
        <v>288.92708571428574</v>
      </c>
      <c r="Q75" s="112">
        <f t="shared" si="90"/>
        <v>256.30628571428571</v>
      </c>
      <c r="R75" s="112">
        <f t="shared" si="90"/>
        <v>240.77257142857144</v>
      </c>
      <c r="S75" s="112">
        <f t="shared" si="90"/>
        <v>300.96571428571434</v>
      </c>
      <c r="T75" s="112">
        <f t="shared" si="90"/>
        <v>291.25714285714281</v>
      </c>
      <c r="U75" s="112">
        <f t="shared" si="90"/>
        <v>288.92708571428574</v>
      </c>
      <c r="V75" s="112">
        <f t="shared" si="90"/>
        <v>209.70514285714285</v>
      </c>
      <c r="W75" s="112">
        <f t="shared" si="90"/>
        <v>192.61805714285714</v>
      </c>
      <c r="X75" s="291">
        <f t="shared" si="20"/>
        <v>2840.5338285714283</v>
      </c>
      <c r="Y75" s="112">
        <f t="shared" ref="Y75:AJ75" si="91">$C38*Y38</f>
        <v>166.13307428571426</v>
      </c>
      <c r="Z75" s="112">
        <f t="shared" si="91"/>
        <v>176.62803999999997</v>
      </c>
      <c r="AA75" s="112">
        <f t="shared" si="91"/>
        <v>249.19961142857144</v>
      </c>
      <c r="AB75" s="112">
        <f t="shared" si="91"/>
        <v>294.75222857142853</v>
      </c>
      <c r="AC75" s="112">
        <f t="shared" si="91"/>
        <v>332.26614857142852</v>
      </c>
      <c r="AD75" s="112">
        <f t="shared" si="91"/>
        <v>294.75222857142853</v>
      </c>
      <c r="AE75" s="112">
        <f t="shared" si="91"/>
        <v>276.88845714285713</v>
      </c>
      <c r="AF75" s="112">
        <f t="shared" si="91"/>
        <v>346.11057142857146</v>
      </c>
      <c r="AG75" s="112">
        <f t="shared" si="91"/>
        <v>334.94571428571419</v>
      </c>
      <c r="AH75" s="112">
        <f t="shared" si="91"/>
        <v>332.26614857142852</v>
      </c>
      <c r="AI75" s="112">
        <f t="shared" si="91"/>
        <v>241.16091428571426</v>
      </c>
      <c r="AJ75" s="112">
        <f t="shared" si="91"/>
        <v>221.5107657142857</v>
      </c>
      <c r="AK75" s="291">
        <f t="shared" si="58"/>
        <v>3266.613902857142</v>
      </c>
      <c r="AL75" s="112">
        <f t="shared" ref="AL75:AW75" si="92">$D38*AL38</f>
        <v>190.05623698285714</v>
      </c>
      <c r="AM75" s="112">
        <f t="shared" si="92"/>
        <v>202.06247775999998</v>
      </c>
      <c r="AN75" s="112">
        <f t="shared" si="92"/>
        <v>285.08435547428576</v>
      </c>
      <c r="AO75" s="112">
        <f t="shared" si="92"/>
        <v>337.19654948571429</v>
      </c>
      <c r="AP75" s="112">
        <f t="shared" si="92"/>
        <v>380.11247396571429</v>
      </c>
      <c r="AQ75" s="112">
        <f t="shared" si="92"/>
        <v>337.19654948571429</v>
      </c>
      <c r="AR75" s="112">
        <f t="shared" si="92"/>
        <v>316.76039497142858</v>
      </c>
      <c r="AS75" s="112">
        <f t="shared" si="92"/>
        <v>395.95049371428581</v>
      </c>
      <c r="AT75" s="112">
        <f t="shared" si="92"/>
        <v>383.17789714285709</v>
      </c>
      <c r="AU75" s="112">
        <f t="shared" si="92"/>
        <v>380.11247396571429</v>
      </c>
      <c r="AV75" s="112">
        <f t="shared" si="92"/>
        <v>275.88808594285712</v>
      </c>
      <c r="AW75" s="112">
        <f t="shared" si="92"/>
        <v>253.40831597714288</v>
      </c>
      <c r="AX75" s="289">
        <f t="shared" si="60"/>
        <v>3737.0063048685715</v>
      </c>
      <c r="AY75" s="112">
        <f t="shared" ref="AY75:BJ75" si="93">$E38*AY38</f>
        <v>199.55904883200003</v>
      </c>
      <c r="AZ75" s="112">
        <f t="shared" si="93"/>
        <v>212.16560164799998</v>
      </c>
      <c r="BA75" s="112">
        <f t="shared" si="93"/>
        <v>299.33857324800005</v>
      </c>
      <c r="BB75" s="112">
        <f t="shared" si="93"/>
        <v>354.05637696000002</v>
      </c>
      <c r="BC75" s="112">
        <f t="shared" si="93"/>
        <v>399.11809766400006</v>
      </c>
      <c r="BD75" s="112">
        <f t="shared" si="93"/>
        <v>354.05637696000002</v>
      </c>
      <c r="BE75" s="112">
        <f t="shared" si="93"/>
        <v>332.59841472000005</v>
      </c>
      <c r="BF75" s="112">
        <f t="shared" si="93"/>
        <v>415.74801840000009</v>
      </c>
      <c r="BG75" s="112">
        <f t="shared" si="93"/>
        <v>402.33679199999995</v>
      </c>
      <c r="BH75" s="112">
        <f t="shared" si="93"/>
        <v>399.11809766400006</v>
      </c>
      <c r="BI75" s="112">
        <f t="shared" si="93"/>
        <v>289.68249023999999</v>
      </c>
      <c r="BJ75" s="112">
        <f t="shared" si="93"/>
        <v>266.07873177600004</v>
      </c>
      <c r="BK75" s="289">
        <f t="shared" si="62"/>
        <v>3923.8566201120002</v>
      </c>
      <c r="BL75" s="112">
        <f t="shared" ref="BL75:BW75" si="94">$F38*BL38</f>
        <v>217.91848132454405</v>
      </c>
      <c r="BM75" s="112">
        <f t="shared" si="94"/>
        <v>231.68483699961598</v>
      </c>
      <c r="BN75" s="112">
        <f t="shared" si="94"/>
        <v>326.87772198681603</v>
      </c>
      <c r="BO75" s="112">
        <f t="shared" si="94"/>
        <v>386.62956364031999</v>
      </c>
      <c r="BP75" s="112">
        <f t="shared" si="94"/>
        <v>435.83696264908809</v>
      </c>
      <c r="BQ75" s="112">
        <f t="shared" si="94"/>
        <v>386.62956364031999</v>
      </c>
      <c r="BR75" s="112">
        <f t="shared" si="94"/>
        <v>363.19746887424003</v>
      </c>
      <c r="BS75" s="112">
        <f t="shared" si="94"/>
        <v>453.99683609280015</v>
      </c>
      <c r="BT75" s="112">
        <f t="shared" si="94"/>
        <v>439.35177686399993</v>
      </c>
      <c r="BU75" s="112">
        <f t="shared" si="94"/>
        <v>435.83696264908809</v>
      </c>
      <c r="BV75" s="112">
        <f t="shared" si="94"/>
        <v>316.33327934208</v>
      </c>
      <c r="BW75" s="112">
        <f t="shared" si="94"/>
        <v>290.55797509939202</v>
      </c>
      <c r="BX75" s="291">
        <f t="shared" si="64"/>
        <v>4284.8514291623042</v>
      </c>
      <c r="BY75" s="103"/>
    </row>
    <row r="76" spans="1:77" ht="15.75" customHeight="1">
      <c r="A76" s="92"/>
      <c r="B76" s="92"/>
      <c r="C76" s="92"/>
      <c r="D76" s="92"/>
      <c r="E76" s="92"/>
      <c r="F76" s="92"/>
      <c r="G76" s="106"/>
      <c r="H76" s="106"/>
      <c r="I76" s="92"/>
      <c r="J76" s="92" t="str">
        <f t="shared" si="50"/>
        <v>Rotating IPA #2</v>
      </c>
      <c r="K76" s="92"/>
      <c r="L76" s="112">
        <f t="shared" ref="L76:W76" si="95">$B39*L39</f>
        <v>72.231771428571435</v>
      </c>
      <c r="M76" s="112">
        <f t="shared" si="95"/>
        <v>76.794799999999981</v>
      </c>
      <c r="N76" s="112">
        <f t="shared" si="95"/>
        <v>108.34765714285714</v>
      </c>
      <c r="O76" s="112">
        <f t="shared" si="95"/>
        <v>128.15314285714285</v>
      </c>
      <c r="P76" s="112">
        <f t="shared" si="95"/>
        <v>144.46354285714287</v>
      </c>
      <c r="Q76" s="112">
        <f t="shared" si="95"/>
        <v>128.15314285714285</v>
      </c>
      <c r="R76" s="112">
        <f t="shared" si="95"/>
        <v>120.38628571428572</v>
      </c>
      <c r="S76" s="112">
        <f t="shared" si="95"/>
        <v>150.48285714285717</v>
      </c>
      <c r="T76" s="112">
        <f t="shared" si="95"/>
        <v>145.62857142857141</v>
      </c>
      <c r="U76" s="112">
        <f t="shared" si="95"/>
        <v>144.46354285714287</v>
      </c>
      <c r="V76" s="112">
        <f t="shared" si="95"/>
        <v>104.85257142857142</v>
      </c>
      <c r="W76" s="112">
        <f t="shared" si="95"/>
        <v>96.30902857142857</v>
      </c>
      <c r="X76" s="291">
        <f t="shared" si="20"/>
        <v>1420.2669142857142</v>
      </c>
      <c r="Y76" s="112">
        <f t="shared" ref="Y76:AJ76" si="96">$C39*Y39</f>
        <v>83.066537142857129</v>
      </c>
      <c r="Z76" s="112">
        <f t="shared" si="96"/>
        <v>88.314019999999985</v>
      </c>
      <c r="AA76" s="112">
        <f t="shared" si="96"/>
        <v>124.59980571428572</v>
      </c>
      <c r="AB76" s="112">
        <f t="shared" si="96"/>
        <v>147.37611428571427</v>
      </c>
      <c r="AC76" s="112">
        <f t="shared" si="96"/>
        <v>166.13307428571426</v>
      </c>
      <c r="AD76" s="112">
        <f t="shared" si="96"/>
        <v>147.37611428571427</v>
      </c>
      <c r="AE76" s="112">
        <f t="shared" si="96"/>
        <v>138.44422857142857</v>
      </c>
      <c r="AF76" s="112">
        <f t="shared" si="96"/>
        <v>173.05528571428573</v>
      </c>
      <c r="AG76" s="112">
        <f t="shared" si="96"/>
        <v>167.47285714285709</v>
      </c>
      <c r="AH76" s="112">
        <f t="shared" si="96"/>
        <v>166.13307428571426</v>
      </c>
      <c r="AI76" s="112">
        <f t="shared" si="96"/>
        <v>120.58045714285713</v>
      </c>
      <c r="AJ76" s="112">
        <f t="shared" si="96"/>
        <v>110.75538285714285</v>
      </c>
      <c r="AK76" s="291">
        <f t="shared" si="58"/>
        <v>1633.306951428571</v>
      </c>
      <c r="AL76" s="112">
        <f t="shared" ref="AL76:AW76" si="97">$D39*AL39</f>
        <v>95.028118491428572</v>
      </c>
      <c r="AM76" s="112">
        <f t="shared" si="97"/>
        <v>101.03123887999999</v>
      </c>
      <c r="AN76" s="112">
        <f t="shared" si="97"/>
        <v>142.54217773714288</v>
      </c>
      <c r="AO76" s="112">
        <f t="shared" si="97"/>
        <v>168.59827474285714</v>
      </c>
      <c r="AP76" s="112">
        <f t="shared" si="97"/>
        <v>190.05623698285714</v>
      </c>
      <c r="AQ76" s="112">
        <f t="shared" si="97"/>
        <v>168.59827474285714</v>
      </c>
      <c r="AR76" s="112">
        <f t="shared" si="97"/>
        <v>158.38019748571429</v>
      </c>
      <c r="AS76" s="112">
        <f t="shared" si="97"/>
        <v>197.97524685714291</v>
      </c>
      <c r="AT76" s="112">
        <f t="shared" si="97"/>
        <v>191.58894857142855</v>
      </c>
      <c r="AU76" s="112">
        <f t="shared" si="97"/>
        <v>190.05623698285714</v>
      </c>
      <c r="AV76" s="112">
        <f t="shared" si="97"/>
        <v>137.94404297142856</v>
      </c>
      <c r="AW76" s="112">
        <f t="shared" si="97"/>
        <v>126.70415798857144</v>
      </c>
      <c r="AX76" s="289">
        <f t="shared" si="60"/>
        <v>1868.5031524342858</v>
      </c>
      <c r="AY76" s="112">
        <f t="shared" ref="AY76:BJ76" si="98">$E39*AY39</f>
        <v>99.779524416000015</v>
      </c>
      <c r="AZ76" s="112">
        <f t="shared" si="98"/>
        <v>106.08280082399999</v>
      </c>
      <c r="BA76" s="112">
        <f t="shared" si="98"/>
        <v>149.66928662400002</v>
      </c>
      <c r="BB76" s="112">
        <f t="shared" si="98"/>
        <v>177.02818848000001</v>
      </c>
      <c r="BC76" s="112">
        <f t="shared" si="98"/>
        <v>199.55904883200003</v>
      </c>
      <c r="BD76" s="112">
        <f t="shared" si="98"/>
        <v>177.02818848000001</v>
      </c>
      <c r="BE76" s="112">
        <f t="shared" si="98"/>
        <v>166.29920736000003</v>
      </c>
      <c r="BF76" s="112">
        <f t="shared" si="98"/>
        <v>207.87400920000005</v>
      </c>
      <c r="BG76" s="112">
        <f t="shared" si="98"/>
        <v>201.16839599999997</v>
      </c>
      <c r="BH76" s="112">
        <f t="shared" si="98"/>
        <v>199.55904883200003</v>
      </c>
      <c r="BI76" s="112">
        <f t="shared" si="98"/>
        <v>144.84124512</v>
      </c>
      <c r="BJ76" s="112">
        <f t="shared" si="98"/>
        <v>133.03936588800002</v>
      </c>
      <c r="BK76" s="289">
        <f t="shared" si="62"/>
        <v>1961.9283100560001</v>
      </c>
      <c r="BL76" s="112">
        <f t="shared" ref="BL76:BW76" si="99">$F39*BL39</f>
        <v>108.95924066227202</v>
      </c>
      <c r="BM76" s="112">
        <f t="shared" si="99"/>
        <v>115.84241849980799</v>
      </c>
      <c r="BN76" s="112">
        <f t="shared" si="99"/>
        <v>163.43886099340801</v>
      </c>
      <c r="BO76" s="112">
        <f t="shared" si="99"/>
        <v>193.31478182015999</v>
      </c>
      <c r="BP76" s="112">
        <f t="shared" si="99"/>
        <v>217.91848132454405</v>
      </c>
      <c r="BQ76" s="112">
        <f t="shared" si="99"/>
        <v>193.31478182015999</v>
      </c>
      <c r="BR76" s="112">
        <f t="shared" si="99"/>
        <v>181.59873443712002</v>
      </c>
      <c r="BS76" s="112">
        <f t="shared" si="99"/>
        <v>226.99841804640008</v>
      </c>
      <c r="BT76" s="112">
        <f t="shared" si="99"/>
        <v>219.67588843199997</v>
      </c>
      <c r="BU76" s="112">
        <f t="shared" si="99"/>
        <v>217.91848132454405</v>
      </c>
      <c r="BV76" s="112">
        <f t="shared" si="99"/>
        <v>158.16663967104</v>
      </c>
      <c r="BW76" s="112">
        <f t="shared" si="99"/>
        <v>145.27898754969601</v>
      </c>
      <c r="BX76" s="291">
        <f t="shared" si="64"/>
        <v>2142.4257145811521</v>
      </c>
      <c r="BY76" s="103"/>
    </row>
    <row r="77" spans="1:77" ht="15.75" customHeight="1">
      <c r="A77" s="92"/>
      <c r="B77" s="92"/>
      <c r="C77" s="92"/>
      <c r="D77" s="92"/>
      <c r="E77" s="92"/>
      <c r="F77" s="92"/>
      <c r="G77" s="106"/>
      <c r="H77" s="106"/>
      <c r="I77" s="92"/>
      <c r="J77" s="92" t="str">
        <f t="shared" si="50"/>
        <v>Special release</v>
      </c>
      <c r="K77" s="92"/>
      <c r="L77" s="112">
        <f t="shared" ref="L77:W77" si="100">$B40*L40</f>
        <v>0</v>
      </c>
      <c r="M77" s="112">
        <f t="shared" si="100"/>
        <v>0</v>
      </c>
      <c r="N77" s="112">
        <f t="shared" si="100"/>
        <v>0</v>
      </c>
      <c r="O77" s="112">
        <f t="shared" si="100"/>
        <v>0</v>
      </c>
      <c r="P77" s="112">
        <f t="shared" si="100"/>
        <v>0</v>
      </c>
      <c r="Q77" s="112">
        <f t="shared" si="100"/>
        <v>0</v>
      </c>
      <c r="R77" s="112">
        <f t="shared" si="100"/>
        <v>0</v>
      </c>
      <c r="S77" s="112">
        <f t="shared" si="100"/>
        <v>0</v>
      </c>
      <c r="T77" s="112">
        <f t="shared" si="100"/>
        <v>0</v>
      </c>
      <c r="U77" s="112">
        <f t="shared" si="100"/>
        <v>0</v>
      </c>
      <c r="V77" s="112">
        <f t="shared" si="100"/>
        <v>0</v>
      </c>
      <c r="W77" s="112">
        <f t="shared" si="100"/>
        <v>0</v>
      </c>
      <c r="X77" s="291">
        <f t="shared" si="20"/>
        <v>0</v>
      </c>
      <c r="Y77" s="112">
        <f t="shared" ref="Y77:AJ77" si="101">$C40*Y40</f>
        <v>0</v>
      </c>
      <c r="Z77" s="112">
        <f t="shared" si="101"/>
        <v>0</v>
      </c>
      <c r="AA77" s="112">
        <f t="shared" si="101"/>
        <v>0</v>
      </c>
      <c r="AB77" s="112">
        <f t="shared" si="101"/>
        <v>0</v>
      </c>
      <c r="AC77" s="112">
        <f t="shared" si="101"/>
        <v>0</v>
      </c>
      <c r="AD77" s="112">
        <f t="shared" si="101"/>
        <v>0</v>
      </c>
      <c r="AE77" s="112">
        <f t="shared" si="101"/>
        <v>0</v>
      </c>
      <c r="AF77" s="112">
        <f t="shared" si="101"/>
        <v>0</v>
      </c>
      <c r="AG77" s="112">
        <f t="shared" si="101"/>
        <v>0</v>
      </c>
      <c r="AH77" s="112">
        <f t="shared" si="101"/>
        <v>0</v>
      </c>
      <c r="AI77" s="112">
        <f t="shared" si="101"/>
        <v>0</v>
      </c>
      <c r="AJ77" s="112">
        <f t="shared" si="101"/>
        <v>0</v>
      </c>
      <c r="AK77" s="291">
        <f t="shared" si="58"/>
        <v>0</v>
      </c>
      <c r="AL77" s="112">
        <f t="shared" ref="AL77:AW77" si="102">$D40*AL40</f>
        <v>0</v>
      </c>
      <c r="AM77" s="112">
        <f t="shared" si="102"/>
        <v>0</v>
      </c>
      <c r="AN77" s="112">
        <f t="shared" si="102"/>
        <v>0</v>
      </c>
      <c r="AO77" s="112">
        <f t="shared" si="102"/>
        <v>0</v>
      </c>
      <c r="AP77" s="112">
        <f t="shared" si="102"/>
        <v>0</v>
      </c>
      <c r="AQ77" s="112">
        <f t="shared" si="102"/>
        <v>0</v>
      </c>
      <c r="AR77" s="112">
        <f t="shared" si="102"/>
        <v>0</v>
      </c>
      <c r="AS77" s="112">
        <f t="shared" si="102"/>
        <v>0</v>
      </c>
      <c r="AT77" s="112">
        <f t="shared" si="102"/>
        <v>0</v>
      </c>
      <c r="AU77" s="112">
        <f t="shared" si="102"/>
        <v>0</v>
      </c>
      <c r="AV77" s="112">
        <f t="shared" si="102"/>
        <v>0</v>
      </c>
      <c r="AW77" s="112">
        <f t="shared" si="102"/>
        <v>0</v>
      </c>
      <c r="AX77" s="289">
        <f t="shared" si="60"/>
        <v>0</v>
      </c>
      <c r="AY77" s="112">
        <f t="shared" ref="AY77:BJ77" si="103">$E40*AY40</f>
        <v>0</v>
      </c>
      <c r="AZ77" s="112">
        <f t="shared" si="103"/>
        <v>0</v>
      </c>
      <c r="BA77" s="112">
        <f t="shared" si="103"/>
        <v>0</v>
      </c>
      <c r="BB77" s="112">
        <f t="shared" si="103"/>
        <v>0</v>
      </c>
      <c r="BC77" s="112">
        <f t="shared" si="103"/>
        <v>0</v>
      </c>
      <c r="BD77" s="112">
        <f t="shared" si="103"/>
        <v>0</v>
      </c>
      <c r="BE77" s="112">
        <f t="shared" si="103"/>
        <v>0</v>
      </c>
      <c r="BF77" s="112">
        <f t="shared" si="103"/>
        <v>0</v>
      </c>
      <c r="BG77" s="112">
        <f t="shared" si="103"/>
        <v>0</v>
      </c>
      <c r="BH77" s="112">
        <f t="shared" si="103"/>
        <v>0</v>
      </c>
      <c r="BI77" s="112">
        <f t="shared" si="103"/>
        <v>0</v>
      </c>
      <c r="BJ77" s="112">
        <f t="shared" si="103"/>
        <v>0</v>
      </c>
      <c r="BK77" s="289">
        <f t="shared" si="62"/>
        <v>0</v>
      </c>
      <c r="BL77" s="112">
        <f t="shared" ref="BL77:BW77" si="104">$F40*BL40</f>
        <v>0</v>
      </c>
      <c r="BM77" s="112">
        <f t="shared" si="104"/>
        <v>0</v>
      </c>
      <c r="BN77" s="112">
        <f t="shared" si="104"/>
        <v>0</v>
      </c>
      <c r="BO77" s="112">
        <f t="shared" si="104"/>
        <v>0</v>
      </c>
      <c r="BP77" s="112">
        <f t="shared" si="104"/>
        <v>0</v>
      </c>
      <c r="BQ77" s="112">
        <f t="shared" si="104"/>
        <v>0</v>
      </c>
      <c r="BR77" s="112">
        <f t="shared" si="104"/>
        <v>0</v>
      </c>
      <c r="BS77" s="112">
        <f t="shared" si="104"/>
        <v>0</v>
      </c>
      <c r="BT77" s="112">
        <f t="shared" si="104"/>
        <v>0</v>
      </c>
      <c r="BU77" s="112">
        <f t="shared" si="104"/>
        <v>0</v>
      </c>
      <c r="BV77" s="112">
        <f t="shared" si="104"/>
        <v>0</v>
      </c>
      <c r="BW77" s="112">
        <f t="shared" si="104"/>
        <v>0</v>
      </c>
      <c r="BX77" s="291">
        <f t="shared" si="64"/>
        <v>0</v>
      </c>
      <c r="BY77" s="103"/>
    </row>
    <row r="78" spans="1:77" ht="15.75" customHeight="1">
      <c r="A78" s="92"/>
      <c r="B78" s="92"/>
      <c r="C78" s="92"/>
      <c r="D78" s="92"/>
      <c r="E78" s="92"/>
      <c r="F78" s="92"/>
      <c r="G78" s="106"/>
      <c r="H78" s="106"/>
      <c r="I78" s="92"/>
      <c r="J78" s="92">
        <f t="shared" si="50"/>
        <v>0</v>
      </c>
      <c r="K78" s="92"/>
      <c r="L78" s="112">
        <f t="shared" ref="L78:W78" si="105">$B41*L41</f>
        <v>0</v>
      </c>
      <c r="M78" s="112">
        <f t="shared" si="105"/>
        <v>0</v>
      </c>
      <c r="N78" s="112">
        <f t="shared" si="105"/>
        <v>0</v>
      </c>
      <c r="O78" s="112">
        <f t="shared" si="105"/>
        <v>0</v>
      </c>
      <c r="P78" s="112">
        <f t="shared" si="105"/>
        <v>0</v>
      </c>
      <c r="Q78" s="112">
        <f t="shared" si="105"/>
        <v>0</v>
      </c>
      <c r="R78" s="112">
        <f t="shared" si="105"/>
        <v>0</v>
      </c>
      <c r="S78" s="112">
        <f t="shared" si="105"/>
        <v>0</v>
      </c>
      <c r="T78" s="112">
        <f t="shared" si="105"/>
        <v>0</v>
      </c>
      <c r="U78" s="112">
        <f t="shared" si="105"/>
        <v>0</v>
      </c>
      <c r="V78" s="112">
        <f t="shared" si="105"/>
        <v>0</v>
      </c>
      <c r="W78" s="112">
        <f t="shared" si="105"/>
        <v>0</v>
      </c>
      <c r="X78" s="291">
        <f>SUM(L78:W78)</f>
        <v>0</v>
      </c>
      <c r="Y78" s="112">
        <f t="shared" ref="Y78:AJ78" si="106">$C41*Y41</f>
        <v>0</v>
      </c>
      <c r="Z78" s="112">
        <f t="shared" si="106"/>
        <v>0</v>
      </c>
      <c r="AA78" s="112">
        <f t="shared" si="106"/>
        <v>0</v>
      </c>
      <c r="AB78" s="112">
        <f t="shared" si="106"/>
        <v>0</v>
      </c>
      <c r="AC78" s="112">
        <f t="shared" si="106"/>
        <v>0</v>
      </c>
      <c r="AD78" s="112">
        <f t="shared" si="106"/>
        <v>0</v>
      </c>
      <c r="AE78" s="112">
        <f t="shared" si="106"/>
        <v>0</v>
      </c>
      <c r="AF78" s="112">
        <f t="shared" si="106"/>
        <v>0</v>
      </c>
      <c r="AG78" s="112">
        <f t="shared" si="106"/>
        <v>0</v>
      </c>
      <c r="AH78" s="112">
        <f t="shared" si="106"/>
        <v>0</v>
      </c>
      <c r="AI78" s="112">
        <f t="shared" si="106"/>
        <v>0</v>
      </c>
      <c r="AJ78" s="112">
        <f t="shared" si="106"/>
        <v>0</v>
      </c>
      <c r="AK78" s="291">
        <f t="shared" si="58"/>
        <v>0</v>
      </c>
      <c r="AL78" s="112">
        <f t="shared" ref="AL78:AW78" si="107">$D41*AL41</f>
        <v>0</v>
      </c>
      <c r="AM78" s="112">
        <f t="shared" si="107"/>
        <v>0</v>
      </c>
      <c r="AN78" s="112">
        <f t="shared" si="107"/>
        <v>0</v>
      </c>
      <c r="AO78" s="112">
        <f t="shared" si="107"/>
        <v>0</v>
      </c>
      <c r="AP78" s="112">
        <f t="shared" si="107"/>
        <v>0</v>
      </c>
      <c r="AQ78" s="112">
        <f t="shared" si="107"/>
        <v>0</v>
      </c>
      <c r="AR78" s="112">
        <f t="shared" si="107"/>
        <v>0</v>
      </c>
      <c r="AS78" s="112">
        <f t="shared" si="107"/>
        <v>0</v>
      </c>
      <c r="AT78" s="112">
        <f t="shared" si="107"/>
        <v>0</v>
      </c>
      <c r="AU78" s="112">
        <f t="shared" si="107"/>
        <v>0</v>
      </c>
      <c r="AV78" s="112">
        <f t="shared" si="107"/>
        <v>0</v>
      </c>
      <c r="AW78" s="112">
        <f t="shared" si="107"/>
        <v>0</v>
      </c>
      <c r="AX78" s="289">
        <f t="shared" si="60"/>
        <v>0</v>
      </c>
      <c r="AY78" s="112">
        <f t="shared" ref="AY78:BJ78" si="108">$E41*AY41</f>
        <v>0</v>
      </c>
      <c r="AZ78" s="112">
        <f t="shared" si="108"/>
        <v>0</v>
      </c>
      <c r="BA78" s="112">
        <f t="shared" si="108"/>
        <v>0</v>
      </c>
      <c r="BB78" s="112">
        <f t="shared" si="108"/>
        <v>0</v>
      </c>
      <c r="BC78" s="112">
        <f t="shared" si="108"/>
        <v>0</v>
      </c>
      <c r="BD78" s="112">
        <f t="shared" si="108"/>
        <v>0</v>
      </c>
      <c r="BE78" s="112">
        <f t="shared" si="108"/>
        <v>0</v>
      </c>
      <c r="BF78" s="112">
        <f t="shared" si="108"/>
        <v>0</v>
      </c>
      <c r="BG78" s="112">
        <f t="shared" si="108"/>
        <v>0</v>
      </c>
      <c r="BH78" s="112">
        <f t="shared" si="108"/>
        <v>0</v>
      </c>
      <c r="BI78" s="112">
        <f t="shared" si="108"/>
        <v>0</v>
      </c>
      <c r="BJ78" s="112">
        <f t="shared" si="108"/>
        <v>0</v>
      </c>
      <c r="BK78" s="289">
        <f t="shared" si="62"/>
        <v>0</v>
      </c>
      <c r="BL78" s="112">
        <f t="shared" ref="BL78:BW78" si="109">$F41*BL41</f>
        <v>0</v>
      </c>
      <c r="BM78" s="112">
        <f t="shared" si="109"/>
        <v>0</v>
      </c>
      <c r="BN78" s="112">
        <f t="shared" si="109"/>
        <v>0</v>
      </c>
      <c r="BO78" s="112">
        <f t="shared" si="109"/>
        <v>0</v>
      </c>
      <c r="BP78" s="112">
        <f t="shared" si="109"/>
        <v>0</v>
      </c>
      <c r="BQ78" s="112">
        <f t="shared" si="109"/>
        <v>0</v>
      </c>
      <c r="BR78" s="112">
        <f t="shared" si="109"/>
        <v>0</v>
      </c>
      <c r="BS78" s="112">
        <f t="shared" si="109"/>
        <v>0</v>
      </c>
      <c r="BT78" s="112">
        <f t="shared" si="109"/>
        <v>0</v>
      </c>
      <c r="BU78" s="112">
        <f t="shared" si="109"/>
        <v>0</v>
      </c>
      <c r="BV78" s="112">
        <f t="shared" si="109"/>
        <v>0</v>
      </c>
      <c r="BW78" s="112">
        <f t="shared" si="109"/>
        <v>0</v>
      </c>
      <c r="BX78" s="291">
        <f t="shared" si="64"/>
        <v>0</v>
      </c>
      <c r="BY78" s="103"/>
    </row>
    <row r="79" spans="1:77" ht="15.75" customHeight="1">
      <c r="A79" s="92"/>
      <c r="B79" s="92"/>
      <c r="C79" s="92"/>
      <c r="D79" s="92"/>
      <c r="E79" s="92"/>
      <c r="F79" s="92"/>
      <c r="G79" s="106"/>
      <c r="H79" s="106"/>
      <c r="I79" s="92"/>
      <c r="J79" s="92">
        <f t="shared" si="50"/>
        <v>0</v>
      </c>
      <c r="K79" s="92"/>
      <c r="L79" s="112">
        <f t="shared" ref="L79:W79" si="110">$B42*L42</f>
        <v>0</v>
      </c>
      <c r="M79" s="112">
        <f t="shared" si="110"/>
        <v>0</v>
      </c>
      <c r="N79" s="112">
        <f t="shared" si="110"/>
        <v>0</v>
      </c>
      <c r="O79" s="112">
        <f t="shared" si="110"/>
        <v>0</v>
      </c>
      <c r="P79" s="112">
        <f t="shared" si="110"/>
        <v>0</v>
      </c>
      <c r="Q79" s="112">
        <f t="shared" si="110"/>
        <v>0</v>
      </c>
      <c r="R79" s="112">
        <f t="shared" si="110"/>
        <v>0</v>
      </c>
      <c r="S79" s="112">
        <f t="shared" si="110"/>
        <v>0</v>
      </c>
      <c r="T79" s="112">
        <f t="shared" si="110"/>
        <v>0</v>
      </c>
      <c r="U79" s="112">
        <f t="shared" si="110"/>
        <v>0</v>
      </c>
      <c r="V79" s="112">
        <f t="shared" si="110"/>
        <v>0</v>
      </c>
      <c r="W79" s="112">
        <f t="shared" si="110"/>
        <v>0</v>
      </c>
      <c r="X79" s="291">
        <f>SUM(L79:W79)</f>
        <v>0</v>
      </c>
      <c r="Y79" s="112">
        <f t="shared" ref="Y79:AJ79" si="111">$C42*Y42</f>
        <v>0</v>
      </c>
      <c r="Z79" s="112">
        <f t="shared" si="111"/>
        <v>0</v>
      </c>
      <c r="AA79" s="112">
        <f t="shared" si="111"/>
        <v>0</v>
      </c>
      <c r="AB79" s="112">
        <f t="shared" si="111"/>
        <v>0</v>
      </c>
      <c r="AC79" s="112">
        <f t="shared" si="111"/>
        <v>0</v>
      </c>
      <c r="AD79" s="112">
        <f t="shared" si="111"/>
        <v>0</v>
      </c>
      <c r="AE79" s="112">
        <f t="shared" si="111"/>
        <v>0</v>
      </c>
      <c r="AF79" s="112">
        <f t="shared" si="111"/>
        <v>0</v>
      </c>
      <c r="AG79" s="112">
        <f t="shared" si="111"/>
        <v>0</v>
      </c>
      <c r="AH79" s="112">
        <f t="shared" si="111"/>
        <v>0</v>
      </c>
      <c r="AI79" s="112">
        <f t="shared" si="111"/>
        <v>0</v>
      </c>
      <c r="AJ79" s="112">
        <f t="shared" si="111"/>
        <v>0</v>
      </c>
      <c r="AK79" s="291">
        <f t="shared" si="58"/>
        <v>0</v>
      </c>
      <c r="AL79" s="112">
        <f t="shared" ref="AL79:AW79" si="112">$D42*AL42</f>
        <v>0</v>
      </c>
      <c r="AM79" s="112">
        <f t="shared" si="112"/>
        <v>0</v>
      </c>
      <c r="AN79" s="112">
        <f t="shared" si="112"/>
        <v>0</v>
      </c>
      <c r="AO79" s="112">
        <f t="shared" si="112"/>
        <v>0</v>
      </c>
      <c r="AP79" s="112">
        <f t="shared" si="112"/>
        <v>0</v>
      </c>
      <c r="AQ79" s="112">
        <f t="shared" si="112"/>
        <v>0</v>
      </c>
      <c r="AR79" s="112">
        <f t="shared" si="112"/>
        <v>0</v>
      </c>
      <c r="AS79" s="112">
        <f t="shared" si="112"/>
        <v>0</v>
      </c>
      <c r="AT79" s="112">
        <f t="shared" si="112"/>
        <v>0</v>
      </c>
      <c r="AU79" s="112">
        <f t="shared" si="112"/>
        <v>0</v>
      </c>
      <c r="AV79" s="112">
        <f t="shared" si="112"/>
        <v>0</v>
      </c>
      <c r="AW79" s="112">
        <f t="shared" si="112"/>
        <v>0</v>
      </c>
      <c r="AX79" s="289">
        <f t="shared" si="60"/>
        <v>0</v>
      </c>
      <c r="AY79" s="112">
        <f t="shared" ref="AY79:BJ79" si="113">$E42*AY42</f>
        <v>0</v>
      </c>
      <c r="AZ79" s="112">
        <f t="shared" si="113"/>
        <v>0</v>
      </c>
      <c r="BA79" s="112">
        <f t="shared" si="113"/>
        <v>0</v>
      </c>
      <c r="BB79" s="112">
        <f t="shared" si="113"/>
        <v>0</v>
      </c>
      <c r="BC79" s="112">
        <f t="shared" si="113"/>
        <v>0</v>
      </c>
      <c r="BD79" s="112">
        <f t="shared" si="113"/>
        <v>0</v>
      </c>
      <c r="BE79" s="112">
        <f t="shared" si="113"/>
        <v>0</v>
      </c>
      <c r="BF79" s="112">
        <f t="shared" si="113"/>
        <v>0</v>
      </c>
      <c r="BG79" s="112">
        <f t="shared" si="113"/>
        <v>0</v>
      </c>
      <c r="BH79" s="112">
        <f t="shared" si="113"/>
        <v>0</v>
      </c>
      <c r="BI79" s="112">
        <f t="shared" si="113"/>
        <v>0</v>
      </c>
      <c r="BJ79" s="112">
        <f t="shared" si="113"/>
        <v>0</v>
      </c>
      <c r="BK79" s="289">
        <f t="shared" si="62"/>
        <v>0</v>
      </c>
      <c r="BL79" s="112">
        <f t="shared" ref="BL79:BW79" si="114">$F42*BL42</f>
        <v>0</v>
      </c>
      <c r="BM79" s="112">
        <f t="shared" si="114"/>
        <v>0</v>
      </c>
      <c r="BN79" s="112">
        <f t="shared" si="114"/>
        <v>0</v>
      </c>
      <c r="BO79" s="112">
        <f t="shared" si="114"/>
        <v>0</v>
      </c>
      <c r="BP79" s="112">
        <f t="shared" si="114"/>
        <v>0</v>
      </c>
      <c r="BQ79" s="112">
        <f t="shared" si="114"/>
        <v>0</v>
      </c>
      <c r="BR79" s="112">
        <f t="shared" si="114"/>
        <v>0</v>
      </c>
      <c r="BS79" s="112">
        <f t="shared" si="114"/>
        <v>0</v>
      </c>
      <c r="BT79" s="112">
        <f t="shared" si="114"/>
        <v>0</v>
      </c>
      <c r="BU79" s="112">
        <f t="shared" si="114"/>
        <v>0</v>
      </c>
      <c r="BV79" s="112">
        <f t="shared" si="114"/>
        <v>0</v>
      </c>
      <c r="BW79" s="112">
        <f t="shared" si="114"/>
        <v>0</v>
      </c>
      <c r="BX79" s="291">
        <f t="shared" si="64"/>
        <v>0</v>
      </c>
      <c r="BY79" s="103"/>
    </row>
    <row r="80" spans="1:77" ht="15.75" customHeight="1">
      <c r="A80" s="92"/>
      <c r="B80" s="92"/>
      <c r="C80" s="92"/>
      <c r="D80" s="92"/>
      <c r="E80" s="92"/>
      <c r="F80" s="92"/>
      <c r="G80" s="106"/>
      <c r="H80" s="106"/>
      <c r="I80" s="92"/>
      <c r="J80" s="92">
        <f t="shared" si="50"/>
        <v>0</v>
      </c>
      <c r="K80" s="92"/>
      <c r="L80" s="112">
        <f t="shared" ref="L80:W80" si="115">$B43*L43</f>
        <v>0</v>
      </c>
      <c r="M80" s="112">
        <f t="shared" si="115"/>
        <v>0</v>
      </c>
      <c r="N80" s="112">
        <f t="shared" si="115"/>
        <v>0</v>
      </c>
      <c r="O80" s="112">
        <f t="shared" si="115"/>
        <v>0</v>
      </c>
      <c r="P80" s="112">
        <f t="shared" si="115"/>
        <v>0</v>
      </c>
      <c r="Q80" s="112">
        <f t="shared" si="115"/>
        <v>0</v>
      </c>
      <c r="R80" s="112">
        <f t="shared" si="115"/>
        <v>0</v>
      </c>
      <c r="S80" s="112">
        <f t="shared" si="115"/>
        <v>0</v>
      </c>
      <c r="T80" s="112">
        <f t="shared" si="115"/>
        <v>0</v>
      </c>
      <c r="U80" s="112">
        <f t="shared" si="115"/>
        <v>0</v>
      </c>
      <c r="V80" s="112">
        <f t="shared" si="115"/>
        <v>0</v>
      </c>
      <c r="W80" s="112">
        <f t="shared" si="115"/>
        <v>0</v>
      </c>
      <c r="X80" s="291">
        <f>SUM(L80:W80)</f>
        <v>0</v>
      </c>
      <c r="Y80" s="112">
        <f t="shared" ref="Y80:AJ80" si="116">$C43*Y43</f>
        <v>0</v>
      </c>
      <c r="Z80" s="112">
        <f t="shared" si="116"/>
        <v>0</v>
      </c>
      <c r="AA80" s="112">
        <f t="shared" si="116"/>
        <v>0</v>
      </c>
      <c r="AB80" s="112">
        <f t="shared" si="116"/>
        <v>0</v>
      </c>
      <c r="AC80" s="112">
        <f t="shared" si="116"/>
        <v>0</v>
      </c>
      <c r="AD80" s="112">
        <f t="shared" si="116"/>
        <v>0</v>
      </c>
      <c r="AE80" s="112">
        <f t="shared" si="116"/>
        <v>0</v>
      </c>
      <c r="AF80" s="112">
        <f t="shared" si="116"/>
        <v>0</v>
      </c>
      <c r="AG80" s="112">
        <f t="shared" si="116"/>
        <v>0</v>
      </c>
      <c r="AH80" s="112">
        <f t="shared" si="116"/>
        <v>0</v>
      </c>
      <c r="AI80" s="112">
        <f t="shared" si="116"/>
        <v>0</v>
      </c>
      <c r="AJ80" s="112">
        <f t="shared" si="116"/>
        <v>0</v>
      </c>
      <c r="AK80" s="291">
        <f t="shared" si="58"/>
        <v>0</v>
      </c>
      <c r="AL80" s="112">
        <f t="shared" ref="AL80:AW80" si="117">$D43*AL43</f>
        <v>0</v>
      </c>
      <c r="AM80" s="112">
        <f t="shared" si="117"/>
        <v>0</v>
      </c>
      <c r="AN80" s="112">
        <f t="shared" si="117"/>
        <v>0</v>
      </c>
      <c r="AO80" s="112">
        <f t="shared" si="117"/>
        <v>0</v>
      </c>
      <c r="AP80" s="112">
        <f t="shared" si="117"/>
        <v>0</v>
      </c>
      <c r="AQ80" s="112">
        <f t="shared" si="117"/>
        <v>0</v>
      </c>
      <c r="AR80" s="112">
        <f t="shared" si="117"/>
        <v>0</v>
      </c>
      <c r="AS80" s="112">
        <f t="shared" si="117"/>
        <v>0</v>
      </c>
      <c r="AT80" s="112">
        <f t="shared" si="117"/>
        <v>0</v>
      </c>
      <c r="AU80" s="112">
        <f t="shared" si="117"/>
        <v>0</v>
      </c>
      <c r="AV80" s="112">
        <f t="shared" si="117"/>
        <v>0</v>
      </c>
      <c r="AW80" s="112">
        <f t="shared" si="117"/>
        <v>0</v>
      </c>
      <c r="AX80" s="289">
        <f t="shared" si="60"/>
        <v>0</v>
      </c>
      <c r="AY80" s="112">
        <f t="shared" ref="AY80:BJ80" si="118">$E43*AY43</f>
        <v>0</v>
      </c>
      <c r="AZ80" s="112">
        <f t="shared" si="118"/>
        <v>0</v>
      </c>
      <c r="BA80" s="112">
        <f t="shared" si="118"/>
        <v>0</v>
      </c>
      <c r="BB80" s="112">
        <f t="shared" si="118"/>
        <v>0</v>
      </c>
      <c r="BC80" s="112">
        <f t="shared" si="118"/>
        <v>0</v>
      </c>
      <c r="BD80" s="112">
        <f t="shared" si="118"/>
        <v>0</v>
      </c>
      <c r="BE80" s="112">
        <f t="shared" si="118"/>
        <v>0</v>
      </c>
      <c r="BF80" s="112">
        <f t="shared" si="118"/>
        <v>0</v>
      </c>
      <c r="BG80" s="112">
        <f t="shared" si="118"/>
        <v>0</v>
      </c>
      <c r="BH80" s="112">
        <f t="shared" si="118"/>
        <v>0</v>
      </c>
      <c r="BI80" s="112">
        <f t="shared" si="118"/>
        <v>0</v>
      </c>
      <c r="BJ80" s="112">
        <f t="shared" si="118"/>
        <v>0</v>
      </c>
      <c r="BK80" s="289">
        <f t="shared" si="62"/>
        <v>0</v>
      </c>
      <c r="BL80" s="112">
        <f t="shared" ref="BL80:BW80" si="119">$F43*BL43</f>
        <v>0</v>
      </c>
      <c r="BM80" s="112">
        <f t="shared" si="119"/>
        <v>0</v>
      </c>
      <c r="BN80" s="112">
        <f t="shared" si="119"/>
        <v>0</v>
      </c>
      <c r="BO80" s="112">
        <f t="shared" si="119"/>
        <v>0</v>
      </c>
      <c r="BP80" s="112">
        <f t="shared" si="119"/>
        <v>0</v>
      </c>
      <c r="BQ80" s="112">
        <f t="shared" si="119"/>
        <v>0</v>
      </c>
      <c r="BR80" s="112">
        <f t="shared" si="119"/>
        <v>0</v>
      </c>
      <c r="BS80" s="112">
        <f t="shared" si="119"/>
        <v>0</v>
      </c>
      <c r="BT80" s="112">
        <f t="shared" si="119"/>
        <v>0</v>
      </c>
      <c r="BU80" s="112">
        <f t="shared" si="119"/>
        <v>0</v>
      </c>
      <c r="BV80" s="112">
        <f t="shared" si="119"/>
        <v>0</v>
      </c>
      <c r="BW80" s="112">
        <f t="shared" si="119"/>
        <v>0</v>
      </c>
      <c r="BX80" s="291">
        <f t="shared" si="64"/>
        <v>0</v>
      </c>
      <c r="BY80" s="103"/>
    </row>
    <row r="81" spans="1:77" ht="15.75" customHeight="1">
      <c r="A81" s="92"/>
      <c r="B81" s="92"/>
      <c r="C81" s="92"/>
      <c r="D81" s="92"/>
      <c r="E81" s="92"/>
      <c r="F81" s="92"/>
      <c r="G81" s="106"/>
      <c r="H81" s="106"/>
      <c r="I81" s="92"/>
      <c r="J81" s="92"/>
      <c r="K81" s="92" t="s">
        <v>532</v>
      </c>
      <c r="L81" s="112">
        <f>SUM(L68:L77)</f>
        <v>1325.5954285714283</v>
      </c>
      <c r="M81" s="112">
        <f t="shared" ref="M81:W81" si="120">SUM(M68:M77)</f>
        <v>1409.3359999999996</v>
      </c>
      <c r="N81" s="112">
        <f t="shared" si="120"/>
        <v>1988.3931428571425</v>
      </c>
      <c r="O81" s="112">
        <f t="shared" si="120"/>
        <v>2351.8628571428576</v>
      </c>
      <c r="P81" s="112">
        <f t="shared" si="120"/>
        <v>2651.1908571428567</v>
      </c>
      <c r="Q81" s="112">
        <f t="shared" si="120"/>
        <v>2351.8628571428576</v>
      </c>
      <c r="R81" s="112">
        <f t="shared" si="120"/>
        <v>2209.3257142857146</v>
      </c>
      <c r="S81" s="112">
        <f t="shared" si="120"/>
        <v>2761.6571428571428</v>
      </c>
      <c r="T81" s="112">
        <f t="shared" si="120"/>
        <v>2672.571428571428</v>
      </c>
      <c r="U81" s="112">
        <f t="shared" si="120"/>
        <v>2651.1908571428567</v>
      </c>
      <c r="V81" s="112">
        <f t="shared" si="120"/>
        <v>1924.2514285714283</v>
      </c>
      <c r="W81" s="112">
        <f t="shared" si="120"/>
        <v>1767.4605714285717</v>
      </c>
      <c r="X81" s="291">
        <f>SUM(L81:W81)</f>
        <v>26064.698285714283</v>
      </c>
      <c r="Y81" s="307">
        <f>SUM(Y68:Y77)</f>
        <v>1524.4347428571427</v>
      </c>
      <c r="Z81" s="112">
        <f t="shared" ref="Z81:AJ81" si="121">SUM(Z68:Z77)</f>
        <v>1620.7364</v>
      </c>
      <c r="AA81" s="112">
        <f t="shared" si="121"/>
        <v>2286.6521142857146</v>
      </c>
      <c r="AB81" s="112">
        <f t="shared" si="121"/>
        <v>2704.6422857142857</v>
      </c>
      <c r="AC81" s="112">
        <f t="shared" si="121"/>
        <v>3048.8694857142855</v>
      </c>
      <c r="AD81" s="112">
        <f t="shared" si="121"/>
        <v>2704.6422857142857</v>
      </c>
      <c r="AE81" s="112">
        <f t="shared" si="121"/>
        <v>2540.7245714285714</v>
      </c>
      <c r="AF81" s="112">
        <f t="shared" si="121"/>
        <v>3175.9057142857141</v>
      </c>
      <c r="AG81" s="112">
        <f t="shared" si="121"/>
        <v>3073.4571428571426</v>
      </c>
      <c r="AH81" s="112">
        <f t="shared" si="121"/>
        <v>3048.8694857142855</v>
      </c>
      <c r="AI81" s="112">
        <f t="shared" si="121"/>
        <v>2212.8891428571424</v>
      </c>
      <c r="AJ81" s="112">
        <f t="shared" si="121"/>
        <v>2032.5796571428573</v>
      </c>
      <c r="AK81" s="291">
        <f t="shared" si="58"/>
        <v>29974.403028571433</v>
      </c>
      <c r="AL81" s="307">
        <f>SUM(AL68:AL77)</f>
        <v>1743.9533458285714</v>
      </c>
      <c r="AM81" s="112">
        <f t="shared" ref="AM81:AW81" si="122">SUM(AM68:AM77)</f>
        <v>1854.1224416000002</v>
      </c>
      <c r="AN81" s="112">
        <f t="shared" si="122"/>
        <v>2615.930018742858</v>
      </c>
      <c r="AO81" s="112">
        <f t="shared" si="122"/>
        <v>3094.1107748571421</v>
      </c>
      <c r="AP81" s="112">
        <f t="shared" si="122"/>
        <v>3487.9066916571428</v>
      </c>
      <c r="AQ81" s="112">
        <f t="shared" si="122"/>
        <v>3094.1107748571421</v>
      </c>
      <c r="AR81" s="112">
        <f t="shared" si="122"/>
        <v>2906.5889097142854</v>
      </c>
      <c r="AS81" s="112">
        <f t="shared" si="122"/>
        <v>3633.2361371428574</v>
      </c>
      <c r="AT81" s="112">
        <f t="shared" si="122"/>
        <v>3516.0349714285712</v>
      </c>
      <c r="AU81" s="112">
        <f t="shared" si="122"/>
        <v>3487.9066916571428</v>
      </c>
      <c r="AV81" s="112">
        <f t="shared" si="122"/>
        <v>2531.5451794285714</v>
      </c>
      <c r="AW81" s="112">
        <f t="shared" si="122"/>
        <v>2325.2711277714288</v>
      </c>
      <c r="AX81" s="291">
        <f t="shared" si="60"/>
        <v>34290.717064685712</v>
      </c>
      <c r="AY81" s="307">
        <f>SUM(AY68:AY77)</f>
        <v>1831.15101312</v>
      </c>
      <c r="AZ81" s="112">
        <f t="shared" ref="AZ81:BJ81" si="123">SUM(AZ68:AZ77)</f>
        <v>1946.8285636800001</v>
      </c>
      <c r="BA81" s="112">
        <f t="shared" si="123"/>
        <v>2746.7265196800004</v>
      </c>
      <c r="BB81" s="112">
        <f t="shared" si="123"/>
        <v>3248.8163136000003</v>
      </c>
      <c r="BC81" s="112">
        <f t="shared" si="123"/>
        <v>3662.30202624</v>
      </c>
      <c r="BD81" s="112">
        <f t="shared" si="123"/>
        <v>3248.8163136000003</v>
      </c>
      <c r="BE81" s="112">
        <f t="shared" si="123"/>
        <v>3051.9183552</v>
      </c>
      <c r="BF81" s="112">
        <f t="shared" si="123"/>
        <v>3814.8979440000012</v>
      </c>
      <c r="BG81" s="112">
        <f t="shared" si="123"/>
        <v>3691.8367200000002</v>
      </c>
      <c r="BH81" s="112">
        <f t="shared" si="123"/>
        <v>3662.30202624</v>
      </c>
      <c r="BI81" s="112">
        <f t="shared" si="123"/>
        <v>2658.1224384000002</v>
      </c>
      <c r="BJ81" s="112">
        <f t="shared" si="123"/>
        <v>2441.5346841600003</v>
      </c>
      <c r="BK81" s="291">
        <f t="shared" si="62"/>
        <v>36005.252917919992</v>
      </c>
      <c r="BL81" s="307">
        <f>SUM(BL68:BL77)</f>
        <v>1999.6169063270406</v>
      </c>
      <c r="BM81" s="112">
        <f t="shared" ref="BM81:BW81" si="124">SUM(BM68:BM77)</f>
        <v>2125.9367915385601</v>
      </c>
      <c r="BN81" s="112">
        <f t="shared" si="124"/>
        <v>2999.4253594905608</v>
      </c>
      <c r="BO81" s="112">
        <f t="shared" si="124"/>
        <v>3547.7074144512007</v>
      </c>
      <c r="BP81" s="112">
        <f t="shared" si="124"/>
        <v>3999.2338126540812</v>
      </c>
      <c r="BQ81" s="112">
        <f t="shared" si="124"/>
        <v>3547.7074144512007</v>
      </c>
      <c r="BR81" s="112">
        <f t="shared" si="124"/>
        <v>3332.6948438784007</v>
      </c>
      <c r="BS81" s="112">
        <f t="shared" si="124"/>
        <v>4165.8685548480016</v>
      </c>
      <c r="BT81" s="112">
        <f t="shared" si="124"/>
        <v>4031.4856982399997</v>
      </c>
      <c r="BU81" s="112">
        <f t="shared" si="124"/>
        <v>3999.2338126540812</v>
      </c>
      <c r="BV81" s="112">
        <f t="shared" si="124"/>
        <v>2902.6697027328</v>
      </c>
      <c r="BW81" s="112">
        <f t="shared" si="124"/>
        <v>2666.1558751027205</v>
      </c>
      <c r="BX81" s="291">
        <f t="shared" si="64"/>
        <v>39317.736186368646</v>
      </c>
      <c r="BY81" s="103"/>
    </row>
    <row r="82" spans="1:77" ht="15.75" customHeight="1">
      <c r="A82" s="92"/>
      <c r="B82" s="92"/>
      <c r="C82" s="92"/>
      <c r="D82" s="92"/>
      <c r="E82" s="92"/>
      <c r="F82" s="92"/>
      <c r="G82" s="106"/>
      <c r="H82" s="106"/>
      <c r="I82" s="92"/>
      <c r="J82" s="92"/>
      <c r="K82" s="9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291"/>
      <c r="Y82" s="298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288"/>
      <c r="AL82" s="298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288"/>
      <c r="AY82" s="298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288"/>
      <c r="BL82" s="298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3"/>
      <c r="BY82" s="103"/>
    </row>
    <row r="83" spans="1:77" ht="15.75" customHeight="1">
      <c r="A83" s="92"/>
      <c r="B83" s="92"/>
      <c r="C83" s="92"/>
      <c r="D83" s="92"/>
      <c r="E83" s="92"/>
      <c r="F83" s="92"/>
      <c r="G83" s="106"/>
      <c r="H83" s="106"/>
      <c r="I83" s="92"/>
      <c r="J83" s="92"/>
      <c r="K83" s="9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291"/>
      <c r="Y83" s="298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288"/>
      <c r="AL83" s="298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288"/>
      <c r="AY83" s="298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288"/>
      <c r="BL83" s="298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3"/>
      <c r="BY83" s="103"/>
    </row>
    <row r="84" spans="1:77" ht="15.75" customHeight="1"/>
    <row r="85" spans="1:77" ht="15.75" customHeight="1">
      <c r="G85" s="274" t="s">
        <v>517</v>
      </c>
      <c r="H85" s="274"/>
      <c r="I85" s="92"/>
      <c r="J85" s="92"/>
    </row>
    <row r="86" spans="1:77" ht="15.75" customHeight="1">
      <c r="G86" s="104"/>
      <c r="H86" s="104"/>
      <c r="I86" s="255" t="s">
        <v>455</v>
      </c>
      <c r="J86" s="92"/>
    </row>
    <row r="87" spans="1:77" ht="15.75" customHeight="1">
      <c r="G87" s="106"/>
      <c r="H87" s="106"/>
      <c r="I87" s="92"/>
      <c r="J87" s="92" t="str">
        <f t="shared" ref="J87:J99" si="125">J52</f>
        <v>Core 1 - Lager</v>
      </c>
      <c r="L87" s="279">
        <f t="shared" ref="L87:W87" si="126">L15*$G15/128/31</f>
        <v>2.3555625</v>
      </c>
      <c r="M87" s="279">
        <f t="shared" si="126"/>
        <v>2.5043681955645156</v>
      </c>
      <c r="N87" s="279">
        <f t="shared" si="126"/>
        <v>3.5333437500000002</v>
      </c>
      <c r="O87" s="279">
        <f t="shared" si="126"/>
        <v>4.179223790322582</v>
      </c>
      <c r="P87" s="279">
        <f t="shared" si="126"/>
        <v>4.711125</v>
      </c>
      <c r="Q87" s="279">
        <f t="shared" si="126"/>
        <v>4.179223790322582</v>
      </c>
      <c r="R87" s="279">
        <f t="shared" si="126"/>
        <v>3.9259375000000007</v>
      </c>
      <c r="S87" s="279">
        <f t="shared" si="126"/>
        <v>4.9074218750000007</v>
      </c>
      <c r="T87" s="279">
        <f t="shared" si="126"/>
        <v>4.749117943548387</v>
      </c>
      <c r="U87" s="279">
        <f t="shared" si="126"/>
        <v>4.711125</v>
      </c>
      <c r="V87" s="279">
        <f t="shared" si="126"/>
        <v>3.4193649193548388</v>
      </c>
      <c r="W87" s="279">
        <f t="shared" si="126"/>
        <v>3.1407500000000002</v>
      </c>
      <c r="X87" s="293">
        <f>SUM(L87:W87)</f>
        <v>46.316564264112905</v>
      </c>
      <c r="Y87" s="279">
        <f t="shared" ref="Y87:AJ87" si="127">Y15*$G15/128/31</f>
        <v>2.7088968749999998</v>
      </c>
      <c r="Z87" s="279">
        <f t="shared" si="127"/>
        <v>2.8800234248991932</v>
      </c>
      <c r="AA87" s="279">
        <f t="shared" si="127"/>
        <v>4.0633453125000001</v>
      </c>
      <c r="AB87" s="279">
        <f t="shared" si="127"/>
        <v>4.8061073588709684</v>
      </c>
      <c r="AC87" s="279">
        <f t="shared" si="127"/>
        <v>5.4177937499999995</v>
      </c>
      <c r="AD87" s="279">
        <f t="shared" si="127"/>
        <v>4.8061073588709684</v>
      </c>
      <c r="AE87" s="279">
        <f t="shared" si="127"/>
        <v>4.5148281250000002</v>
      </c>
      <c r="AF87" s="279">
        <f t="shared" si="127"/>
        <v>5.6435351562500005</v>
      </c>
      <c r="AG87" s="279">
        <f t="shared" si="127"/>
        <v>5.4614856350806438</v>
      </c>
      <c r="AH87" s="279">
        <f t="shared" si="127"/>
        <v>5.4177937499999995</v>
      </c>
      <c r="AI87" s="279">
        <f t="shared" si="127"/>
        <v>3.9322696572580647</v>
      </c>
      <c r="AJ87" s="279">
        <f t="shared" si="127"/>
        <v>3.6118625000000004</v>
      </c>
      <c r="AK87" s="293">
        <f>SUM(Y87:AJ87)</f>
        <v>53.264048903729844</v>
      </c>
      <c r="AL87" s="279">
        <f t="shared" ref="AL87:AW87" si="128">AL15*$G15/128/31</f>
        <v>2.9797865624999997</v>
      </c>
      <c r="AM87" s="279">
        <f t="shared" si="128"/>
        <v>3.1680257673891128</v>
      </c>
      <c r="AN87" s="279">
        <f t="shared" si="128"/>
        <v>4.4696798437499998</v>
      </c>
      <c r="AO87" s="279">
        <f t="shared" si="128"/>
        <v>5.2867180947580659</v>
      </c>
      <c r="AP87" s="279">
        <f t="shared" si="128"/>
        <v>5.9595731249999995</v>
      </c>
      <c r="AQ87" s="279">
        <f t="shared" si="128"/>
        <v>5.2867180947580659</v>
      </c>
      <c r="AR87" s="279">
        <f t="shared" si="128"/>
        <v>4.9663109374999994</v>
      </c>
      <c r="AS87" s="279">
        <f t="shared" si="128"/>
        <v>6.2078886718750006</v>
      </c>
      <c r="AT87" s="279">
        <f t="shared" si="128"/>
        <v>6.0076341985887085</v>
      </c>
      <c r="AU87" s="279">
        <f t="shared" si="128"/>
        <v>5.9595731249999995</v>
      </c>
      <c r="AV87" s="279">
        <f t="shared" si="128"/>
        <v>4.3254966229838718</v>
      </c>
      <c r="AW87" s="279">
        <f t="shared" si="128"/>
        <v>3.9730487500000007</v>
      </c>
      <c r="AX87" s="293">
        <f>SUM(AL87:AW87)</f>
        <v>58.590453794102821</v>
      </c>
      <c r="AY87" s="279">
        <f t="shared" ref="AY87:BJ87" si="129">AY15*$G15/128/31</f>
        <v>3.1287758906250001</v>
      </c>
      <c r="AZ87" s="279">
        <f t="shared" si="129"/>
        <v>3.3264270557585687</v>
      </c>
      <c r="BA87" s="279">
        <f t="shared" si="129"/>
        <v>4.6931638359375007</v>
      </c>
      <c r="BB87" s="279">
        <f t="shared" si="129"/>
        <v>5.5510539994959691</v>
      </c>
      <c r="BC87" s="279">
        <f t="shared" si="129"/>
        <v>6.2575517812500001</v>
      </c>
      <c r="BD87" s="279">
        <f t="shared" si="129"/>
        <v>5.5510539994959691</v>
      </c>
      <c r="BE87" s="279">
        <f t="shared" si="129"/>
        <v>5.2146264843749996</v>
      </c>
      <c r="BF87" s="279">
        <f t="shared" si="129"/>
        <v>6.5182831054687513</v>
      </c>
      <c r="BG87" s="279">
        <f t="shared" si="129"/>
        <v>6.3080159085181444</v>
      </c>
      <c r="BH87" s="279">
        <f t="shared" si="129"/>
        <v>6.2575517812500001</v>
      </c>
      <c r="BI87" s="279">
        <f t="shared" si="129"/>
        <v>4.541771454133066</v>
      </c>
      <c r="BJ87" s="279">
        <f t="shared" si="129"/>
        <v>4.171701187500001</v>
      </c>
      <c r="BK87" s="293">
        <f>SUM(AY87:BJ87)</f>
        <v>61.519976483807973</v>
      </c>
      <c r="BL87" s="279">
        <f t="shared" ref="BL87:BW87" si="130">BL15*$G15/128/31</f>
        <v>3.2852146851562498</v>
      </c>
      <c r="BM87" s="279">
        <f t="shared" si="130"/>
        <v>3.4927484085464973</v>
      </c>
      <c r="BN87" s="279">
        <f t="shared" si="130"/>
        <v>4.9278220277343765</v>
      </c>
      <c r="BO87" s="279">
        <f t="shared" si="130"/>
        <v>5.828606699470769</v>
      </c>
      <c r="BP87" s="279">
        <f t="shared" si="130"/>
        <v>6.5704293703124996</v>
      </c>
      <c r="BQ87" s="279">
        <f t="shared" si="130"/>
        <v>5.828606699470769</v>
      </c>
      <c r="BR87" s="279">
        <f t="shared" si="130"/>
        <v>5.4753578085937491</v>
      </c>
      <c r="BS87" s="279">
        <f t="shared" si="130"/>
        <v>6.8441972607421881</v>
      </c>
      <c r="BT87" s="279">
        <f t="shared" si="130"/>
        <v>6.6234167039440521</v>
      </c>
      <c r="BU87" s="279">
        <f t="shared" si="130"/>
        <v>6.5704293703124996</v>
      </c>
      <c r="BV87" s="279">
        <f t="shared" si="130"/>
        <v>4.7688600268397199</v>
      </c>
      <c r="BW87" s="279">
        <f t="shared" si="130"/>
        <v>4.3802862468750003</v>
      </c>
      <c r="BX87" s="293">
        <f>SUM(BL87:BW87)</f>
        <v>64.595975307998373</v>
      </c>
    </row>
    <row r="88" spans="1:77" ht="15.75" customHeight="1">
      <c r="G88" s="106"/>
      <c r="H88" s="106"/>
      <c r="I88" s="92"/>
      <c r="J88" s="92" t="str">
        <f t="shared" si="125"/>
        <v>Core 2 - Hoppy Pale</v>
      </c>
      <c r="L88" s="279">
        <f t="shared" ref="L88:W88" si="131">L16*$G16/128/31</f>
        <v>3.5333437499999998</v>
      </c>
      <c r="M88" s="279">
        <f t="shared" si="131"/>
        <v>3.7565522933467732</v>
      </c>
      <c r="N88" s="279">
        <f t="shared" si="131"/>
        <v>5.3000156249999995</v>
      </c>
      <c r="O88" s="279">
        <f t="shared" si="131"/>
        <v>6.2688356854838707</v>
      </c>
      <c r="P88" s="279">
        <f t="shared" si="131"/>
        <v>7.0666874999999996</v>
      </c>
      <c r="Q88" s="279">
        <f t="shared" si="131"/>
        <v>6.2688356854838707</v>
      </c>
      <c r="R88" s="279">
        <f t="shared" si="131"/>
        <v>5.8889062499999998</v>
      </c>
      <c r="S88" s="279">
        <f t="shared" si="131"/>
        <v>7.3611328124999993</v>
      </c>
      <c r="T88" s="279">
        <f t="shared" si="131"/>
        <v>7.1236769153225801</v>
      </c>
      <c r="U88" s="279">
        <f t="shared" si="131"/>
        <v>7.0666874999999996</v>
      </c>
      <c r="V88" s="279">
        <f t="shared" si="131"/>
        <v>5.1290473790322588</v>
      </c>
      <c r="W88" s="279">
        <f t="shared" si="131"/>
        <v>4.711125</v>
      </c>
      <c r="X88" s="293">
        <f t="shared" ref="X88:X112" si="132">SUM(L88:W88)</f>
        <v>69.47484639616934</v>
      </c>
      <c r="Y88" s="279">
        <f t="shared" ref="Y88:AJ88" si="133">Y16*$G16/128/31</f>
        <v>4.0633453124999992</v>
      </c>
      <c r="Z88" s="279">
        <f t="shared" si="133"/>
        <v>4.3200351373487891</v>
      </c>
      <c r="AA88" s="279">
        <f t="shared" si="133"/>
        <v>6.0950179687499997</v>
      </c>
      <c r="AB88" s="279">
        <f t="shared" si="133"/>
        <v>7.2091610383064504</v>
      </c>
      <c r="AC88" s="279">
        <f t="shared" si="133"/>
        <v>8.1266906249999984</v>
      </c>
      <c r="AD88" s="279">
        <f t="shared" si="133"/>
        <v>7.2091610383064504</v>
      </c>
      <c r="AE88" s="279">
        <f t="shared" si="133"/>
        <v>6.7722421874999998</v>
      </c>
      <c r="AF88" s="279">
        <f t="shared" si="133"/>
        <v>8.4653027343749976</v>
      </c>
      <c r="AG88" s="279">
        <f t="shared" si="133"/>
        <v>8.1922284526209666</v>
      </c>
      <c r="AH88" s="279">
        <f t="shared" si="133"/>
        <v>8.1266906249999984</v>
      </c>
      <c r="AI88" s="279">
        <f t="shared" si="133"/>
        <v>5.8984044858870961</v>
      </c>
      <c r="AJ88" s="279">
        <f t="shared" si="133"/>
        <v>5.4177937499999995</v>
      </c>
      <c r="AK88" s="293">
        <f t="shared" ref="AK88:AK99" si="134">SUM(Y88:AJ88)</f>
        <v>79.896073355594737</v>
      </c>
      <c r="AL88" s="279">
        <f t="shared" ref="AL88:AW88" si="135">AL16*$G16/128/31</f>
        <v>4.4696798437499989</v>
      </c>
      <c r="AM88" s="279">
        <f t="shared" si="135"/>
        <v>4.7520386510836685</v>
      </c>
      <c r="AN88" s="279">
        <f t="shared" si="135"/>
        <v>6.7045197656250002</v>
      </c>
      <c r="AO88" s="279">
        <f t="shared" si="135"/>
        <v>7.9300771421370957</v>
      </c>
      <c r="AP88" s="279">
        <f t="shared" si="135"/>
        <v>8.9393596874999979</v>
      </c>
      <c r="AQ88" s="279">
        <f t="shared" si="135"/>
        <v>7.9300771421370957</v>
      </c>
      <c r="AR88" s="279">
        <f t="shared" si="135"/>
        <v>7.44946640625</v>
      </c>
      <c r="AS88" s="279">
        <f t="shared" si="135"/>
        <v>9.3118330078124991</v>
      </c>
      <c r="AT88" s="279">
        <f t="shared" si="135"/>
        <v>9.011451297883065</v>
      </c>
      <c r="AU88" s="279">
        <f t="shared" si="135"/>
        <v>8.9393596874999979</v>
      </c>
      <c r="AV88" s="279">
        <f t="shared" si="135"/>
        <v>6.488244934475806</v>
      </c>
      <c r="AW88" s="279">
        <f t="shared" si="135"/>
        <v>5.9595731249999995</v>
      </c>
      <c r="AX88" s="293">
        <f t="shared" ref="AX88:AX99" si="136">SUM(AL88:AW88)</f>
        <v>87.885680691154221</v>
      </c>
      <c r="AY88" s="279">
        <f t="shared" ref="AY88:BJ88" si="137">AY16*$G16/128/31</f>
        <v>4.6931638359374999</v>
      </c>
      <c r="AZ88" s="279">
        <f t="shared" si="137"/>
        <v>4.9896405836378515</v>
      </c>
      <c r="BA88" s="279">
        <f t="shared" si="137"/>
        <v>7.0397457539062511</v>
      </c>
      <c r="BB88" s="279">
        <f t="shared" si="137"/>
        <v>8.3265809992439515</v>
      </c>
      <c r="BC88" s="279">
        <f t="shared" si="137"/>
        <v>9.3863276718749997</v>
      </c>
      <c r="BD88" s="279">
        <f t="shared" si="137"/>
        <v>8.3265809992439515</v>
      </c>
      <c r="BE88" s="279">
        <f t="shared" si="137"/>
        <v>7.8219397265625004</v>
      </c>
      <c r="BF88" s="279">
        <f t="shared" si="137"/>
        <v>9.7774246582031239</v>
      </c>
      <c r="BG88" s="279">
        <f t="shared" si="137"/>
        <v>9.4620238627772189</v>
      </c>
      <c r="BH88" s="279">
        <f t="shared" si="137"/>
        <v>9.3863276718749997</v>
      </c>
      <c r="BI88" s="279">
        <f t="shared" si="137"/>
        <v>6.8126571811995973</v>
      </c>
      <c r="BJ88" s="279">
        <f t="shared" si="137"/>
        <v>6.2575517812500001</v>
      </c>
      <c r="BK88" s="293">
        <f t="shared" ref="BK88:BK99" si="138">SUM(AY88:BJ88)</f>
        <v>92.279964725711935</v>
      </c>
      <c r="BL88" s="279">
        <f t="shared" ref="BL88:BW88" si="139">BL16*$G16/128/31</f>
        <v>4.9278220277343756</v>
      </c>
      <c r="BM88" s="279">
        <f t="shared" si="139"/>
        <v>5.2391226128197452</v>
      </c>
      <c r="BN88" s="279">
        <f t="shared" si="139"/>
        <v>7.3917330416015634</v>
      </c>
      <c r="BO88" s="279">
        <f t="shared" si="139"/>
        <v>8.7429100492061487</v>
      </c>
      <c r="BP88" s="279">
        <f t="shared" si="139"/>
        <v>9.8556440554687512</v>
      </c>
      <c r="BQ88" s="279">
        <f t="shared" si="139"/>
        <v>8.7429100492061487</v>
      </c>
      <c r="BR88" s="279">
        <f t="shared" si="139"/>
        <v>8.2130367128906272</v>
      </c>
      <c r="BS88" s="279">
        <f t="shared" si="139"/>
        <v>10.26629589111328</v>
      </c>
      <c r="BT88" s="279">
        <f t="shared" si="139"/>
        <v>9.93512505591608</v>
      </c>
      <c r="BU88" s="279">
        <f t="shared" si="139"/>
        <v>9.8556440554687512</v>
      </c>
      <c r="BV88" s="279">
        <f t="shared" si="139"/>
        <v>7.1532900402595772</v>
      </c>
      <c r="BW88" s="279">
        <f t="shared" si="139"/>
        <v>6.5704293703124996</v>
      </c>
      <c r="BX88" s="293">
        <f t="shared" ref="BX88:BX99" si="140">SUM(BL88:BW88)</f>
        <v>96.893962961997545</v>
      </c>
    </row>
    <row r="89" spans="1:77" ht="15.75" customHeight="1">
      <c r="G89" s="106"/>
      <c r="H89" s="106"/>
      <c r="I89" s="92"/>
      <c r="J89" s="92" t="str">
        <f t="shared" si="125"/>
        <v>Core 3 - Red Ale</v>
      </c>
      <c r="L89" s="279">
        <f t="shared" ref="L89:W89" si="141">L17*$G17/128/31</f>
        <v>0.96746316964285717</v>
      </c>
      <c r="M89" s="279">
        <f t="shared" si="141"/>
        <v>1.0285797946068547</v>
      </c>
      <c r="N89" s="279">
        <f t="shared" si="141"/>
        <v>1.451194754464286</v>
      </c>
      <c r="O89" s="279">
        <f t="shared" si="141"/>
        <v>1.7164669138824888</v>
      </c>
      <c r="P89" s="279">
        <f t="shared" si="141"/>
        <v>1.9349263392857143</v>
      </c>
      <c r="Q89" s="279">
        <f t="shared" si="141"/>
        <v>1.7164669138824888</v>
      </c>
      <c r="R89" s="279">
        <f t="shared" si="141"/>
        <v>1.6124386160714288</v>
      </c>
      <c r="S89" s="279">
        <f t="shared" si="141"/>
        <v>2.0155482700892859</v>
      </c>
      <c r="T89" s="279">
        <f t="shared" si="141"/>
        <v>1.9505305839573732</v>
      </c>
      <c r="U89" s="279">
        <f t="shared" si="141"/>
        <v>1.9349263392857143</v>
      </c>
      <c r="V89" s="279">
        <f t="shared" si="141"/>
        <v>1.4043820204493089</v>
      </c>
      <c r="W89" s="279">
        <f t="shared" si="141"/>
        <v>1.289950892857143</v>
      </c>
      <c r="X89" s="293">
        <f t="shared" si="132"/>
        <v>19.022874608474943</v>
      </c>
      <c r="Y89" s="279">
        <f t="shared" ref="Y89:AJ89" si="142">Y17*$G17/128/31</f>
        <v>1.1125826450892855</v>
      </c>
      <c r="Z89" s="279">
        <f t="shared" si="142"/>
        <v>1.1828667637978829</v>
      </c>
      <c r="AA89" s="279">
        <f t="shared" si="142"/>
        <v>1.6688739676339286</v>
      </c>
      <c r="AB89" s="279">
        <f t="shared" si="142"/>
        <v>1.9739369509648621</v>
      </c>
      <c r="AC89" s="279">
        <f t="shared" si="142"/>
        <v>2.225165290178571</v>
      </c>
      <c r="AD89" s="279">
        <f t="shared" si="142"/>
        <v>1.9739369509648621</v>
      </c>
      <c r="AE89" s="279">
        <f t="shared" si="142"/>
        <v>1.854304408482143</v>
      </c>
      <c r="AF89" s="279">
        <f t="shared" si="142"/>
        <v>2.3178805106026785</v>
      </c>
      <c r="AG89" s="279">
        <f t="shared" si="142"/>
        <v>2.2431101715509789</v>
      </c>
      <c r="AH89" s="279">
        <f t="shared" si="142"/>
        <v>2.225165290178571</v>
      </c>
      <c r="AI89" s="279">
        <f t="shared" si="142"/>
        <v>1.6150393235167051</v>
      </c>
      <c r="AJ89" s="279">
        <f t="shared" si="142"/>
        <v>1.4834435267857145</v>
      </c>
      <c r="AK89" s="293">
        <f t="shared" si="134"/>
        <v>21.876305799746181</v>
      </c>
      <c r="AL89" s="279">
        <f t="shared" ref="AL89:AW89" si="143">AL17*$G17/128/31</f>
        <v>1.2238409095982143</v>
      </c>
      <c r="AM89" s="279">
        <f t="shared" si="143"/>
        <v>1.3011534401776714</v>
      </c>
      <c r="AN89" s="279">
        <f t="shared" si="143"/>
        <v>1.8357613643973216</v>
      </c>
      <c r="AO89" s="279">
        <f t="shared" si="143"/>
        <v>2.1713306460613482</v>
      </c>
      <c r="AP89" s="279">
        <f t="shared" si="143"/>
        <v>2.4476818191964287</v>
      </c>
      <c r="AQ89" s="279">
        <f t="shared" si="143"/>
        <v>2.1713306460613482</v>
      </c>
      <c r="AR89" s="279">
        <f t="shared" si="143"/>
        <v>2.0397348493303569</v>
      </c>
      <c r="AS89" s="279">
        <f t="shared" si="143"/>
        <v>2.5496685616629464</v>
      </c>
      <c r="AT89" s="279">
        <f t="shared" si="143"/>
        <v>2.4674211887060773</v>
      </c>
      <c r="AU89" s="279">
        <f t="shared" si="143"/>
        <v>2.4476818191964287</v>
      </c>
      <c r="AV89" s="279">
        <f t="shared" si="143"/>
        <v>1.776543255868376</v>
      </c>
      <c r="AW89" s="279">
        <f t="shared" si="143"/>
        <v>1.6317878794642859</v>
      </c>
      <c r="AX89" s="293">
        <f t="shared" si="136"/>
        <v>24.063936379720804</v>
      </c>
      <c r="AY89" s="279">
        <f t="shared" ref="AY89:BJ89" si="144">AY17*$G17/128/31</f>
        <v>1.285032955078125</v>
      </c>
      <c r="AZ89" s="279">
        <f t="shared" si="144"/>
        <v>1.366211112186555</v>
      </c>
      <c r="BA89" s="279">
        <f t="shared" si="144"/>
        <v>1.9275494326171878</v>
      </c>
      <c r="BB89" s="279">
        <f t="shared" si="144"/>
        <v>2.2798971783644162</v>
      </c>
      <c r="BC89" s="279">
        <f t="shared" si="144"/>
        <v>2.57006591015625</v>
      </c>
      <c r="BD89" s="279">
        <f t="shared" si="144"/>
        <v>2.2798971783644162</v>
      </c>
      <c r="BE89" s="279">
        <f t="shared" si="144"/>
        <v>2.141721591796875</v>
      </c>
      <c r="BF89" s="279">
        <f t="shared" si="144"/>
        <v>2.6771519897460943</v>
      </c>
      <c r="BG89" s="279">
        <f t="shared" si="144"/>
        <v>2.5907922481413808</v>
      </c>
      <c r="BH89" s="279">
        <f t="shared" si="144"/>
        <v>2.57006591015625</v>
      </c>
      <c r="BI89" s="279">
        <f t="shared" si="144"/>
        <v>1.865370418661795</v>
      </c>
      <c r="BJ89" s="279">
        <f t="shared" si="144"/>
        <v>1.7133772734375003</v>
      </c>
      <c r="BK89" s="293">
        <f t="shared" si="138"/>
        <v>25.267133198706844</v>
      </c>
      <c r="BL89" s="279">
        <f t="shared" ref="BL89:BW89" si="145">BL17*$G17/128/31</f>
        <v>1.3492846028320311</v>
      </c>
      <c r="BM89" s="279">
        <f t="shared" si="145"/>
        <v>1.4345216677958827</v>
      </c>
      <c r="BN89" s="279">
        <f t="shared" si="145"/>
        <v>2.0239269042480474</v>
      </c>
      <c r="BO89" s="279">
        <f t="shared" si="145"/>
        <v>2.3938920372826371</v>
      </c>
      <c r="BP89" s="279">
        <f t="shared" si="145"/>
        <v>2.6985692056640622</v>
      </c>
      <c r="BQ89" s="279">
        <f t="shared" si="145"/>
        <v>2.3938920372826371</v>
      </c>
      <c r="BR89" s="279">
        <f t="shared" si="145"/>
        <v>2.2488076713867184</v>
      </c>
      <c r="BS89" s="279">
        <f t="shared" si="145"/>
        <v>2.8110095892333988</v>
      </c>
      <c r="BT89" s="279">
        <f t="shared" si="145"/>
        <v>2.7203318605484501</v>
      </c>
      <c r="BU89" s="279">
        <f t="shared" si="145"/>
        <v>2.6985692056640622</v>
      </c>
      <c r="BV89" s="279">
        <f t="shared" si="145"/>
        <v>1.9586389395948849</v>
      </c>
      <c r="BW89" s="279">
        <f t="shared" si="145"/>
        <v>1.7990461371093756</v>
      </c>
      <c r="BX89" s="293">
        <f t="shared" si="140"/>
        <v>26.530489858642184</v>
      </c>
    </row>
    <row r="90" spans="1:77" ht="15.75" customHeight="1">
      <c r="G90" s="106"/>
      <c r="H90" s="106"/>
      <c r="I90" s="92"/>
      <c r="J90" s="92" t="str">
        <f t="shared" si="125"/>
        <v>Core 4 - Dark (Porter?)</v>
      </c>
      <c r="L90" s="279">
        <f t="shared" ref="L90:W90" si="146">L18*$G18/128/31</f>
        <v>0.48373158482142858</v>
      </c>
      <c r="M90" s="279">
        <f t="shared" si="146"/>
        <v>0.51428989730342733</v>
      </c>
      <c r="N90" s="279">
        <f t="shared" si="146"/>
        <v>0.72559737723214301</v>
      </c>
      <c r="O90" s="279">
        <f t="shared" si="146"/>
        <v>0.85823345694124442</v>
      </c>
      <c r="P90" s="279">
        <f t="shared" si="146"/>
        <v>0.96746316964285717</v>
      </c>
      <c r="Q90" s="279">
        <f t="shared" si="146"/>
        <v>0.85823345694124442</v>
      </c>
      <c r="R90" s="279">
        <f t="shared" si="146"/>
        <v>0.8062193080357144</v>
      </c>
      <c r="S90" s="279">
        <f t="shared" si="146"/>
        <v>1.007774135044643</v>
      </c>
      <c r="T90" s="279">
        <f t="shared" si="146"/>
        <v>0.97526529197868661</v>
      </c>
      <c r="U90" s="279">
        <f t="shared" si="146"/>
        <v>0.96746316964285717</v>
      </c>
      <c r="V90" s="279">
        <f t="shared" si="146"/>
        <v>0.70219101022465447</v>
      </c>
      <c r="W90" s="279">
        <f t="shared" si="146"/>
        <v>0.64497544642857152</v>
      </c>
      <c r="X90" s="293">
        <f t="shared" si="132"/>
        <v>9.5114373042374716</v>
      </c>
      <c r="Y90" s="279">
        <f t="shared" ref="Y90:AJ90" si="147">Y18*$G18/128/31</f>
        <v>0.55629132254464275</v>
      </c>
      <c r="Z90" s="279">
        <f t="shared" si="147"/>
        <v>0.59143338189894146</v>
      </c>
      <c r="AA90" s="279">
        <f t="shared" si="147"/>
        <v>0.8344369838169643</v>
      </c>
      <c r="AB90" s="279">
        <f t="shared" si="147"/>
        <v>0.98696847548243105</v>
      </c>
      <c r="AC90" s="279">
        <f t="shared" si="147"/>
        <v>1.1125826450892855</v>
      </c>
      <c r="AD90" s="279">
        <f t="shared" si="147"/>
        <v>0.98696847548243105</v>
      </c>
      <c r="AE90" s="279">
        <f t="shared" si="147"/>
        <v>0.92715220424107148</v>
      </c>
      <c r="AF90" s="279">
        <f t="shared" si="147"/>
        <v>1.1589402553013393</v>
      </c>
      <c r="AG90" s="279">
        <f t="shared" si="147"/>
        <v>1.1215550857754895</v>
      </c>
      <c r="AH90" s="279">
        <f t="shared" si="147"/>
        <v>1.1125826450892855</v>
      </c>
      <c r="AI90" s="279">
        <f t="shared" si="147"/>
        <v>0.80751966175835255</v>
      </c>
      <c r="AJ90" s="279">
        <f t="shared" si="147"/>
        <v>0.74172176339285723</v>
      </c>
      <c r="AK90" s="293">
        <f t="shared" si="134"/>
        <v>10.93815289987309</v>
      </c>
      <c r="AL90" s="279">
        <f t="shared" ref="AL90:AW90" si="148">AL18*$G18/128/31</f>
        <v>0.61192045479910717</v>
      </c>
      <c r="AM90" s="279">
        <f t="shared" si="148"/>
        <v>0.65057672008883571</v>
      </c>
      <c r="AN90" s="279">
        <f t="shared" si="148"/>
        <v>0.91788068219866081</v>
      </c>
      <c r="AO90" s="279">
        <f t="shared" si="148"/>
        <v>1.0856653230306741</v>
      </c>
      <c r="AP90" s="279">
        <f t="shared" si="148"/>
        <v>1.2238409095982143</v>
      </c>
      <c r="AQ90" s="279">
        <f t="shared" si="148"/>
        <v>1.0856653230306741</v>
      </c>
      <c r="AR90" s="279">
        <f t="shared" si="148"/>
        <v>1.0198674246651784</v>
      </c>
      <c r="AS90" s="279">
        <f t="shared" si="148"/>
        <v>1.2748342808314732</v>
      </c>
      <c r="AT90" s="279">
        <f t="shared" si="148"/>
        <v>1.2337105943530386</v>
      </c>
      <c r="AU90" s="279">
        <f t="shared" si="148"/>
        <v>1.2238409095982143</v>
      </c>
      <c r="AV90" s="279">
        <f t="shared" si="148"/>
        <v>0.88827162793418801</v>
      </c>
      <c r="AW90" s="279">
        <f t="shared" si="148"/>
        <v>0.81589393973214297</v>
      </c>
      <c r="AX90" s="293">
        <f t="shared" si="136"/>
        <v>12.031968189860402</v>
      </c>
      <c r="AY90" s="279">
        <f t="shared" ref="AY90:BJ90" si="149">AY18*$G18/128/31</f>
        <v>0.64251647753906249</v>
      </c>
      <c r="AZ90" s="279">
        <f t="shared" si="149"/>
        <v>0.6831055560932775</v>
      </c>
      <c r="BA90" s="279">
        <f t="shared" si="149"/>
        <v>0.9637747163085939</v>
      </c>
      <c r="BB90" s="279">
        <f t="shared" si="149"/>
        <v>1.1399485891822081</v>
      </c>
      <c r="BC90" s="279">
        <f t="shared" si="149"/>
        <v>1.285032955078125</v>
      </c>
      <c r="BD90" s="279">
        <f t="shared" si="149"/>
        <v>1.1399485891822081</v>
      </c>
      <c r="BE90" s="279">
        <f t="shared" si="149"/>
        <v>1.0708607958984375</v>
      </c>
      <c r="BF90" s="279">
        <f t="shared" si="149"/>
        <v>1.3385759948730471</v>
      </c>
      <c r="BG90" s="279">
        <f t="shared" si="149"/>
        <v>1.2953961240706904</v>
      </c>
      <c r="BH90" s="279">
        <f t="shared" si="149"/>
        <v>1.285032955078125</v>
      </c>
      <c r="BI90" s="279">
        <f t="shared" si="149"/>
        <v>0.93268520933089749</v>
      </c>
      <c r="BJ90" s="279">
        <f t="shared" si="149"/>
        <v>0.85668863671875017</v>
      </c>
      <c r="BK90" s="293">
        <f t="shared" si="138"/>
        <v>12.633566599353422</v>
      </c>
      <c r="BL90" s="279">
        <f t="shared" ref="BL90:BW90" si="150">BL18*$G18/128/31</f>
        <v>0.67464230141601556</v>
      </c>
      <c r="BM90" s="279">
        <f t="shared" si="150"/>
        <v>0.71726083389794137</v>
      </c>
      <c r="BN90" s="279">
        <f t="shared" si="150"/>
        <v>1.0119634521240237</v>
      </c>
      <c r="BO90" s="279">
        <f t="shared" si="150"/>
        <v>1.1969460186413186</v>
      </c>
      <c r="BP90" s="279">
        <f t="shared" si="150"/>
        <v>1.3492846028320311</v>
      </c>
      <c r="BQ90" s="279">
        <f t="shared" si="150"/>
        <v>1.1969460186413186</v>
      </c>
      <c r="BR90" s="279">
        <f t="shared" si="150"/>
        <v>1.1244038356933592</v>
      </c>
      <c r="BS90" s="279">
        <f t="shared" si="150"/>
        <v>1.4055047946166994</v>
      </c>
      <c r="BT90" s="279">
        <f t="shared" si="150"/>
        <v>1.3601659302742251</v>
      </c>
      <c r="BU90" s="279">
        <f t="shared" si="150"/>
        <v>1.3492846028320311</v>
      </c>
      <c r="BV90" s="279">
        <f t="shared" si="150"/>
        <v>0.97931946979744244</v>
      </c>
      <c r="BW90" s="279">
        <f t="shared" si="150"/>
        <v>0.89952306855468778</v>
      </c>
      <c r="BX90" s="293">
        <f t="shared" si="140"/>
        <v>13.265244929321092</v>
      </c>
    </row>
    <row r="91" spans="1:77" ht="15.75" customHeight="1">
      <c r="G91" s="106"/>
      <c r="H91" s="106"/>
      <c r="I91" s="92"/>
      <c r="J91" s="92" t="str">
        <f t="shared" si="125"/>
        <v>Rotating Sour</v>
      </c>
      <c r="L91" s="279">
        <f t="shared" ref="L91:W91" si="151">L19*$G19/128/31</f>
        <v>0.48373158482142858</v>
      </c>
      <c r="M91" s="279">
        <f t="shared" si="151"/>
        <v>0.51428989730342733</v>
      </c>
      <c r="N91" s="279">
        <f t="shared" si="151"/>
        <v>0.72559737723214301</v>
      </c>
      <c r="O91" s="279">
        <f t="shared" si="151"/>
        <v>0.85823345694124442</v>
      </c>
      <c r="P91" s="279">
        <f t="shared" si="151"/>
        <v>0.96746316964285717</v>
      </c>
      <c r="Q91" s="279">
        <f t="shared" si="151"/>
        <v>0.85823345694124442</v>
      </c>
      <c r="R91" s="279">
        <f t="shared" si="151"/>
        <v>0.8062193080357144</v>
      </c>
      <c r="S91" s="279">
        <f t="shared" si="151"/>
        <v>1.007774135044643</v>
      </c>
      <c r="T91" s="279">
        <f t="shared" si="151"/>
        <v>0.97526529197868661</v>
      </c>
      <c r="U91" s="279">
        <f t="shared" si="151"/>
        <v>0.96746316964285717</v>
      </c>
      <c r="V91" s="279">
        <f t="shared" si="151"/>
        <v>0.70219101022465447</v>
      </c>
      <c r="W91" s="279">
        <f t="shared" si="151"/>
        <v>0.64497544642857152</v>
      </c>
      <c r="X91" s="293">
        <f t="shared" si="132"/>
        <v>9.5114373042374716</v>
      </c>
      <c r="Y91" s="279">
        <f t="shared" ref="Y91:AJ91" si="152">Y19*$G19/128/31</f>
        <v>0.55629132254464275</v>
      </c>
      <c r="Z91" s="279">
        <f t="shared" si="152"/>
        <v>0.59143338189894146</v>
      </c>
      <c r="AA91" s="279">
        <f t="shared" si="152"/>
        <v>0.8344369838169643</v>
      </c>
      <c r="AB91" s="279">
        <f t="shared" si="152"/>
        <v>0.98696847548243105</v>
      </c>
      <c r="AC91" s="279">
        <f t="shared" si="152"/>
        <v>1.1125826450892855</v>
      </c>
      <c r="AD91" s="279">
        <f t="shared" si="152"/>
        <v>0.98696847548243105</v>
      </c>
      <c r="AE91" s="279">
        <f t="shared" si="152"/>
        <v>0.92715220424107148</v>
      </c>
      <c r="AF91" s="279">
        <f t="shared" si="152"/>
        <v>1.1589402553013393</v>
      </c>
      <c r="AG91" s="279">
        <f t="shared" si="152"/>
        <v>1.1215550857754895</v>
      </c>
      <c r="AH91" s="279">
        <f t="shared" si="152"/>
        <v>1.1125826450892855</v>
      </c>
      <c r="AI91" s="279">
        <f t="shared" si="152"/>
        <v>0.80751966175835255</v>
      </c>
      <c r="AJ91" s="279">
        <f t="shared" si="152"/>
        <v>0.74172176339285723</v>
      </c>
      <c r="AK91" s="293">
        <f t="shared" si="134"/>
        <v>10.93815289987309</v>
      </c>
      <c r="AL91" s="279">
        <f t="shared" ref="AL91:AW91" si="153">AL19*$G19/128/31</f>
        <v>0.61192045479910717</v>
      </c>
      <c r="AM91" s="279">
        <f t="shared" si="153"/>
        <v>0.65057672008883571</v>
      </c>
      <c r="AN91" s="279">
        <f t="shared" si="153"/>
        <v>0.91788068219866081</v>
      </c>
      <c r="AO91" s="279">
        <f t="shared" si="153"/>
        <v>1.0856653230306741</v>
      </c>
      <c r="AP91" s="279">
        <f t="shared" si="153"/>
        <v>1.2238409095982143</v>
      </c>
      <c r="AQ91" s="279">
        <f t="shared" si="153"/>
        <v>1.0856653230306741</v>
      </c>
      <c r="AR91" s="279">
        <f t="shared" si="153"/>
        <v>1.0198674246651784</v>
      </c>
      <c r="AS91" s="279">
        <f t="shared" si="153"/>
        <v>1.2748342808314732</v>
      </c>
      <c r="AT91" s="279">
        <f t="shared" si="153"/>
        <v>1.2337105943530386</v>
      </c>
      <c r="AU91" s="279">
        <f t="shared" si="153"/>
        <v>1.2238409095982143</v>
      </c>
      <c r="AV91" s="279">
        <f t="shared" si="153"/>
        <v>0.88827162793418801</v>
      </c>
      <c r="AW91" s="279">
        <f t="shared" si="153"/>
        <v>0.81589393973214297</v>
      </c>
      <c r="AX91" s="293">
        <f t="shared" si="136"/>
        <v>12.031968189860402</v>
      </c>
      <c r="AY91" s="279">
        <f t="shared" ref="AY91:BJ91" si="154">AY19*$G19/128/31</f>
        <v>0.64251647753906249</v>
      </c>
      <c r="AZ91" s="279">
        <f t="shared" si="154"/>
        <v>0.6831055560932775</v>
      </c>
      <c r="BA91" s="279">
        <f t="shared" si="154"/>
        <v>0.9637747163085939</v>
      </c>
      <c r="BB91" s="279">
        <f t="shared" si="154"/>
        <v>1.1399485891822081</v>
      </c>
      <c r="BC91" s="279">
        <f t="shared" si="154"/>
        <v>1.285032955078125</v>
      </c>
      <c r="BD91" s="279">
        <f t="shared" si="154"/>
        <v>1.1399485891822081</v>
      </c>
      <c r="BE91" s="279">
        <f t="shared" si="154"/>
        <v>1.0708607958984375</v>
      </c>
      <c r="BF91" s="279">
        <f t="shared" si="154"/>
        <v>1.3385759948730471</v>
      </c>
      <c r="BG91" s="279">
        <f t="shared" si="154"/>
        <v>1.2953961240706904</v>
      </c>
      <c r="BH91" s="279">
        <f t="shared" si="154"/>
        <v>1.285032955078125</v>
      </c>
      <c r="BI91" s="279">
        <f t="shared" si="154"/>
        <v>0.93268520933089749</v>
      </c>
      <c r="BJ91" s="279">
        <f t="shared" si="154"/>
        <v>0.85668863671875017</v>
      </c>
      <c r="BK91" s="293">
        <f t="shared" si="138"/>
        <v>12.633566599353422</v>
      </c>
      <c r="BL91" s="279">
        <f t="shared" ref="BL91:BW91" si="155">BL19*$G19/128/31</f>
        <v>0.67464230141601556</v>
      </c>
      <c r="BM91" s="279">
        <f t="shared" si="155"/>
        <v>0.71726083389794137</v>
      </c>
      <c r="BN91" s="279">
        <f t="shared" si="155"/>
        <v>1.0119634521240237</v>
      </c>
      <c r="BO91" s="279">
        <f t="shared" si="155"/>
        <v>1.1969460186413186</v>
      </c>
      <c r="BP91" s="279">
        <f t="shared" si="155"/>
        <v>1.3492846028320311</v>
      </c>
      <c r="BQ91" s="279">
        <f t="shared" si="155"/>
        <v>1.1969460186413186</v>
      </c>
      <c r="BR91" s="279">
        <f t="shared" si="155"/>
        <v>1.1244038356933592</v>
      </c>
      <c r="BS91" s="279">
        <f t="shared" si="155"/>
        <v>1.4055047946166994</v>
      </c>
      <c r="BT91" s="279">
        <f t="shared" si="155"/>
        <v>1.3601659302742251</v>
      </c>
      <c r="BU91" s="279">
        <f t="shared" si="155"/>
        <v>1.3492846028320311</v>
      </c>
      <c r="BV91" s="279">
        <f t="shared" si="155"/>
        <v>0.97931946979744244</v>
      </c>
      <c r="BW91" s="279">
        <f t="shared" si="155"/>
        <v>0.89952306855468778</v>
      </c>
      <c r="BX91" s="293">
        <f t="shared" si="140"/>
        <v>13.265244929321092</v>
      </c>
    </row>
    <row r="92" spans="1:77" ht="15.75" customHeight="1">
      <c r="G92" s="106"/>
      <c r="H92" s="106"/>
      <c r="I92" s="92"/>
      <c r="J92" s="92" t="str">
        <f t="shared" si="125"/>
        <v>Seasonal #1</v>
      </c>
      <c r="L92" s="279">
        <f t="shared" ref="L92:W92" si="156">L20*$G20/128/31</f>
        <v>1.17778125</v>
      </c>
      <c r="M92" s="279">
        <f t="shared" si="156"/>
        <v>1.2521840977822578</v>
      </c>
      <c r="N92" s="279">
        <f t="shared" si="156"/>
        <v>1.7666718750000001</v>
      </c>
      <c r="O92" s="279">
        <f t="shared" si="156"/>
        <v>2.089611895161291</v>
      </c>
      <c r="P92" s="279">
        <f t="shared" si="156"/>
        <v>2.3555625</v>
      </c>
      <c r="Q92" s="279">
        <f t="shared" si="156"/>
        <v>2.089611895161291</v>
      </c>
      <c r="R92" s="279">
        <f t="shared" si="156"/>
        <v>1.9629687500000004</v>
      </c>
      <c r="S92" s="279">
        <f t="shared" si="156"/>
        <v>2.4537109375000004</v>
      </c>
      <c r="T92" s="279">
        <f t="shared" si="156"/>
        <v>2.3745589717741935</v>
      </c>
      <c r="U92" s="279">
        <f t="shared" si="156"/>
        <v>2.3555625</v>
      </c>
      <c r="V92" s="279">
        <f t="shared" si="156"/>
        <v>1.7096824596774194</v>
      </c>
      <c r="W92" s="279">
        <f t="shared" si="156"/>
        <v>1.5703750000000001</v>
      </c>
      <c r="X92" s="293">
        <f t="shared" si="132"/>
        <v>23.158282132056453</v>
      </c>
      <c r="Y92" s="279">
        <f t="shared" ref="Y92:AJ92" si="157">Y20*$G20/128/31</f>
        <v>1.3544484374999999</v>
      </c>
      <c r="Z92" s="279">
        <f t="shared" si="157"/>
        <v>1.4400117124495966</v>
      </c>
      <c r="AA92" s="279">
        <f t="shared" si="157"/>
        <v>2.03167265625</v>
      </c>
      <c r="AB92" s="279">
        <f t="shared" si="157"/>
        <v>2.4030536794354842</v>
      </c>
      <c r="AC92" s="279">
        <f t="shared" si="157"/>
        <v>2.7088968749999998</v>
      </c>
      <c r="AD92" s="279">
        <f t="shared" si="157"/>
        <v>2.4030536794354842</v>
      </c>
      <c r="AE92" s="279">
        <f t="shared" si="157"/>
        <v>2.2574140625000001</v>
      </c>
      <c r="AF92" s="279">
        <f t="shared" si="157"/>
        <v>2.8217675781250002</v>
      </c>
      <c r="AG92" s="279">
        <f t="shared" si="157"/>
        <v>2.7307428175403219</v>
      </c>
      <c r="AH92" s="279">
        <f t="shared" si="157"/>
        <v>2.7088968749999998</v>
      </c>
      <c r="AI92" s="279">
        <f t="shared" si="157"/>
        <v>1.9661348286290323</v>
      </c>
      <c r="AJ92" s="279">
        <f t="shared" si="157"/>
        <v>1.8059312500000002</v>
      </c>
      <c r="AK92" s="293">
        <f t="shared" si="134"/>
        <v>26.632024451864922</v>
      </c>
      <c r="AL92" s="279">
        <f t="shared" ref="AL92:AW92" si="158">AL20*$G20/128/31</f>
        <v>1.4898932812499999</v>
      </c>
      <c r="AM92" s="279">
        <f t="shared" si="158"/>
        <v>1.5840128836945564</v>
      </c>
      <c r="AN92" s="279">
        <f t="shared" si="158"/>
        <v>2.2348399218749999</v>
      </c>
      <c r="AO92" s="279">
        <f t="shared" si="158"/>
        <v>2.6433590473790329</v>
      </c>
      <c r="AP92" s="279">
        <f t="shared" si="158"/>
        <v>2.9797865624999997</v>
      </c>
      <c r="AQ92" s="279">
        <f t="shared" si="158"/>
        <v>2.6433590473790329</v>
      </c>
      <c r="AR92" s="279">
        <f t="shared" si="158"/>
        <v>2.4831554687499997</v>
      </c>
      <c r="AS92" s="279">
        <f t="shared" si="158"/>
        <v>3.1039443359375003</v>
      </c>
      <c r="AT92" s="279">
        <f t="shared" si="158"/>
        <v>3.0038170992943543</v>
      </c>
      <c r="AU92" s="279">
        <f t="shared" si="158"/>
        <v>2.9797865624999997</v>
      </c>
      <c r="AV92" s="279">
        <f t="shared" si="158"/>
        <v>2.1627483114919359</v>
      </c>
      <c r="AW92" s="279">
        <f t="shared" si="158"/>
        <v>1.9865243750000003</v>
      </c>
      <c r="AX92" s="293">
        <f t="shared" si="136"/>
        <v>29.29522689705141</v>
      </c>
      <c r="AY92" s="279">
        <f t="shared" ref="AY92:BJ92" si="159">AY20*$G20/128/31</f>
        <v>1.5643879453125</v>
      </c>
      <c r="AZ92" s="279">
        <f t="shared" si="159"/>
        <v>1.6632135278792843</v>
      </c>
      <c r="BA92" s="279">
        <f t="shared" si="159"/>
        <v>2.3465819179687504</v>
      </c>
      <c r="BB92" s="279">
        <f t="shared" si="159"/>
        <v>2.7755269997479846</v>
      </c>
      <c r="BC92" s="279">
        <f t="shared" si="159"/>
        <v>3.1287758906250001</v>
      </c>
      <c r="BD92" s="279">
        <f t="shared" si="159"/>
        <v>2.7755269997479846</v>
      </c>
      <c r="BE92" s="279">
        <f t="shared" si="159"/>
        <v>2.6073132421874998</v>
      </c>
      <c r="BF92" s="279">
        <f t="shared" si="159"/>
        <v>3.2591415527343757</v>
      </c>
      <c r="BG92" s="279">
        <f t="shared" si="159"/>
        <v>3.1540079542590722</v>
      </c>
      <c r="BH92" s="279">
        <f t="shared" si="159"/>
        <v>3.1287758906250001</v>
      </c>
      <c r="BI92" s="279">
        <f t="shared" si="159"/>
        <v>2.270885727066533</v>
      </c>
      <c r="BJ92" s="279">
        <f t="shared" si="159"/>
        <v>2.0858505937500005</v>
      </c>
      <c r="BK92" s="293">
        <f t="shared" si="138"/>
        <v>30.759988241903987</v>
      </c>
      <c r="BL92" s="279">
        <f t="shared" ref="BL92:BW92" si="160">BL20*$G20/128/31</f>
        <v>1.6426073425781249</v>
      </c>
      <c r="BM92" s="279">
        <f t="shared" si="160"/>
        <v>1.7463742042732486</v>
      </c>
      <c r="BN92" s="279">
        <f t="shared" si="160"/>
        <v>2.4639110138671882</v>
      </c>
      <c r="BO92" s="279">
        <f t="shared" si="160"/>
        <v>2.9143033497353845</v>
      </c>
      <c r="BP92" s="279">
        <f t="shared" si="160"/>
        <v>3.2852146851562498</v>
      </c>
      <c r="BQ92" s="279">
        <f t="shared" si="160"/>
        <v>2.9143033497353845</v>
      </c>
      <c r="BR92" s="279">
        <f t="shared" si="160"/>
        <v>2.7376789042968745</v>
      </c>
      <c r="BS92" s="279">
        <f t="shared" si="160"/>
        <v>3.4220986303710941</v>
      </c>
      <c r="BT92" s="279">
        <f t="shared" si="160"/>
        <v>3.3117083519720261</v>
      </c>
      <c r="BU92" s="279">
        <f t="shared" si="160"/>
        <v>3.2852146851562498</v>
      </c>
      <c r="BV92" s="279">
        <f t="shared" si="160"/>
        <v>2.3844300134198599</v>
      </c>
      <c r="BW92" s="279">
        <f t="shared" si="160"/>
        <v>2.1901431234375002</v>
      </c>
      <c r="BX92" s="293">
        <f t="shared" si="140"/>
        <v>32.297987653999186</v>
      </c>
    </row>
    <row r="93" spans="1:77" ht="15.75" customHeight="1">
      <c r="G93" s="106"/>
      <c r="H93" s="106"/>
      <c r="I93" s="92"/>
      <c r="J93" s="92" t="str">
        <f t="shared" si="125"/>
        <v>Seasonal #2</v>
      </c>
      <c r="L93" s="279">
        <f t="shared" ref="L93:W93" si="161">L21*$G21/128/31</f>
        <v>0.48373158482142858</v>
      </c>
      <c r="M93" s="279">
        <f t="shared" si="161"/>
        <v>0.51428989730342733</v>
      </c>
      <c r="N93" s="279">
        <f t="shared" si="161"/>
        <v>0.72559737723214301</v>
      </c>
      <c r="O93" s="279">
        <f t="shared" si="161"/>
        <v>0.85823345694124442</v>
      </c>
      <c r="P93" s="279">
        <f t="shared" si="161"/>
        <v>0.96746316964285717</v>
      </c>
      <c r="Q93" s="279">
        <f t="shared" si="161"/>
        <v>0.85823345694124442</v>
      </c>
      <c r="R93" s="279">
        <f t="shared" si="161"/>
        <v>0.8062193080357144</v>
      </c>
      <c r="S93" s="279">
        <f t="shared" si="161"/>
        <v>1.007774135044643</v>
      </c>
      <c r="T93" s="279">
        <f t="shared" si="161"/>
        <v>0.97526529197868661</v>
      </c>
      <c r="U93" s="279">
        <f t="shared" si="161"/>
        <v>0.96746316964285717</v>
      </c>
      <c r="V93" s="279">
        <f t="shared" si="161"/>
        <v>0.70219101022465447</v>
      </c>
      <c r="W93" s="279">
        <f t="shared" si="161"/>
        <v>0.64497544642857152</v>
      </c>
      <c r="X93" s="293">
        <f t="shared" si="132"/>
        <v>9.5114373042374716</v>
      </c>
      <c r="Y93" s="279">
        <f t="shared" ref="Y93:AJ93" si="162">Y21*$G21/128/31</f>
        <v>0.55629132254464275</v>
      </c>
      <c r="Z93" s="279">
        <f t="shared" si="162"/>
        <v>0.59143338189894146</v>
      </c>
      <c r="AA93" s="279">
        <f t="shared" si="162"/>
        <v>0.8344369838169643</v>
      </c>
      <c r="AB93" s="279">
        <f t="shared" si="162"/>
        <v>0.98696847548243105</v>
      </c>
      <c r="AC93" s="279">
        <f t="shared" si="162"/>
        <v>1.1125826450892855</v>
      </c>
      <c r="AD93" s="279">
        <f t="shared" si="162"/>
        <v>0.98696847548243105</v>
      </c>
      <c r="AE93" s="279">
        <f t="shared" si="162"/>
        <v>0.92715220424107148</v>
      </c>
      <c r="AF93" s="279">
        <f t="shared" si="162"/>
        <v>1.1589402553013393</v>
      </c>
      <c r="AG93" s="279">
        <f t="shared" si="162"/>
        <v>1.1215550857754895</v>
      </c>
      <c r="AH93" s="279">
        <f t="shared" si="162"/>
        <v>1.1125826450892855</v>
      </c>
      <c r="AI93" s="279">
        <f t="shared" si="162"/>
        <v>0.80751966175835255</v>
      </c>
      <c r="AJ93" s="279">
        <f t="shared" si="162"/>
        <v>0.74172176339285723</v>
      </c>
      <c r="AK93" s="293">
        <f t="shared" si="134"/>
        <v>10.93815289987309</v>
      </c>
      <c r="AL93" s="279">
        <f t="shared" ref="AL93:AW93" si="163">AL21*$G21/128/31</f>
        <v>0.61192045479910717</v>
      </c>
      <c r="AM93" s="279">
        <f t="shared" si="163"/>
        <v>0.65057672008883571</v>
      </c>
      <c r="AN93" s="279">
        <f t="shared" si="163"/>
        <v>0.91788068219866081</v>
      </c>
      <c r="AO93" s="279">
        <f t="shared" si="163"/>
        <v>1.0856653230306741</v>
      </c>
      <c r="AP93" s="279">
        <f t="shared" si="163"/>
        <v>1.2238409095982143</v>
      </c>
      <c r="AQ93" s="279">
        <f t="shared" si="163"/>
        <v>1.0856653230306741</v>
      </c>
      <c r="AR93" s="279">
        <f t="shared" si="163"/>
        <v>1.0198674246651784</v>
      </c>
      <c r="AS93" s="279">
        <f t="shared" si="163"/>
        <v>1.2748342808314732</v>
      </c>
      <c r="AT93" s="279">
        <f t="shared" si="163"/>
        <v>1.2337105943530386</v>
      </c>
      <c r="AU93" s="279">
        <f t="shared" si="163"/>
        <v>1.2238409095982143</v>
      </c>
      <c r="AV93" s="279">
        <f t="shared" si="163"/>
        <v>0.88827162793418801</v>
      </c>
      <c r="AW93" s="279">
        <f t="shared" si="163"/>
        <v>0.81589393973214297</v>
      </c>
      <c r="AX93" s="293">
        <f t="shared" si="136"/>
        <v>12.031968189860402</v>
      </c>
      <c r="AY93" s="279">
        <f t="shared" ref="AY93:BJ93" si="164">AY21*$G21/128/31</f>
        <v>0.64251647753906249</v>
      </c>
      <c r="AZ93" s="279">
        <f t="shared" si="164"/>
        <v>0.6831055560932775</v>
      </c>
      <c r="BA93" s="279">
        <f t="shared" si="164"/>
        <v>0.9637747163085939</v>
      </c>
      <c r="BB93" s="279">
        <f t="shared" si="164"/>
        <v>1.1399485891822081</v>
      </c>
      <c r="BC93" s="279">
        <f t="shared" si="164"/>
        <v>1.285032955078125</v>
      </c>
      <c r="BD93" s="279">
        <f t="shared" si="164"/>
        <v>1.1399485891822081</v>
      </c>
      <c r="BE93" s="279">
        <f t="shared" si="164"/>
        <v>1.0708607958984375</v>
      </c>
      <c r="BF93" s="279">
        <f t="shared" si="164"/>
        <v>1.3385759948730471</v>
      </c>
      <c r="BG93" s="279">
        <f t="shared" si="164"/>
        <v>1.2953961240706904</v>
      </c>
      <c r="BH93" s="279">
        <f t="shared" si="164"/>
        <v>1.285032955078125</v>
      </c>
      <c r="BI93" s="279">
        <f t="shared" si="164"/>
        <v>0.93268520933089749</v>
      </c>
      <c r="BJ93" s="279">
        <f t="shared" si="164"/>
        <v>0.85668863671875017</v>
      </c>
      <c r="BK93" s="293">
        <f t="shared" si="138"/>
        <v>12.633566599353422</v>
      </c>
      <c r="BL93" s="279">
        <f t="shared" ref="BL93:BW93" si="165">BL21*$G21/128/31</f>
        <v>0.67464230141601556</v>
      </c>
      <c r="BM93" s="279">
        <f t="shared" si="165"/>
        <v>0.71726083389794137</v>
      </c>
      <c r="BN93" s="279">
        <f t="shared" si="165"/>
        <v>1.0119634521240237</v>
      </c>
      <c r="BO93" s="279">
        <f t="shared" si="165"/>
        <v>1.1969460186413186</v>
      </c>
      <c r="BP93" s="279">
        <f t="shared" si="165"/>
        <v>1.3492846028320311</v>
      </c>
      <c r="BQ93" s="279">
        <f t="shared" si="165"/>
        <v>1.1969460186413186</v>
      </c>
      <c r="BR93" s="279">
        <f t="shared" si="165"/>
        <v>1.1244038356933592</v>
      </c>
      <c r="BS93" s="279">
        <f t="shared" si="165"/>
        <v>1.4055047946166994</v>
      </c>
      <c r="BT93" s="279">
        <f t="shared" si="165"/>
        <v>1.3601659302742251</v>
      </c>
      <c r="BU93" s="279">
        <f t="shared" si="165"/>
        <v>1.3492846028320311</v>
      </c>
      <c r="BV93" s="279">
        <f t="shared" si="165"/>
        <v>0.97931946979744244</v>
      </c>
      <c r="BW93" s="279">
        <f t="shared" si="165"/>
        <v>0.89952306855468778</v>
      </c>
      <c r="BX93" s="293">
        <f t="shared" si="140"/>
        <v>13.265244929321092</v>
      </c>
    </row>
    <row r="94" spans="1:77" ht="15.75" customHeight="1">
      <c r="G94" s="106"/>
      <c r="H94" s="106"/>
      <c r="I94" s="92"/>
      <c r="J94" s="92" t="str">
        <f t="shared" si="125"/>
        <v>Rotating IPA #1</v>
      </c>
      <c r="L94" s="279">
        <f t="shared" ref="L94:W94" si="166">L22*$G22/128/31</f>
        <v>0.48373158482142858</v>
      </c>
      <c r="M94" s="279">
        <f t="shared" si="166"/>
        <v>0.51428989730342733</v>
      </c>
      <c r="N94" s="279">
        <f t="shared" si="166"/>
        <v>0.72559737723214301</v>
      </c>
      <c r="O94" s="279">
        <f t="shared" si="166"/>
        <v>0.85823345694124442</v>
      </c>
      <c r="P94" s="279">
        <f t="shared" si="166"/>
        <v>0.96746316964285717</v>
      </c>
      <c r="Q94" s="279">
        <f t="shared" si="166"/>
        <v>0.85823345694124442</v>
      </c>
      <c r="R94" s="279">
        <f t="shared" si="166"/>
        <v>0.8062193080357144</v>
      </c>
      <c r="S94" s="279">
        <f t="shared" si="166"/>
        <v>1.007774135044643</v>
      </c>
      <c r="T94" s="279">
        <f t="shared" si="166"/>
        <v>0.97526529197868661</v>
      </c>
      <c r="U94" s="279">
        <f t="shared" si="166"/>
        <v>0.96746316964285717</v>
      </c>
      <c r="V94" s="279">
        <f t="shared" si="166"/>
        <v>0.70219101022465447</v>
      </c>
      <c r="W94" s="279">
        <f t="shared" si="166"/>
        <v>0.64497544642857152</v>
      </c>
      <c r="X94" s="293">
        <f t="shared" si="132"/>
        <v>9.5114373042374716</v>
      </c>
      <c r="Y94" s="279">
        <f t="shared" ref="Y94:AJ94" si="167">Y22*$G22/128/31</f>
        <v>0.55629132254464275</v>
      </c>
      <c r="Z94" s="279">
        <f t="shared" si="167"/>
        <v>0.59143338189894146</v>
      </c>
      <c r="AA94" s="279">
        <f t="shared" si="167"/>
        <v>0.8344369838169643</v>
      </c>
      <c r="AB94" s="279">
        <f t="shared" si="167"/>
        <v>0.98696847548243105</v>
      </c>
      <c r="AC94" s="279">
        <f t="shared" si="167"/>
        <v>1.1125826450892855</v>
      </c>
      <c r="AD94" s="279">
        <f t="shared" si="167"/>
        <v>0.98696847548243105</v>
      </c>
      <c r="AE94" s="279">
        <f t="shared" si="167"/>
        <v>0.92715220424107148</v>
      </c>
      <c r="AF94" s="279">
        <f t="shared" si="167"/>
        <v>1.1589402553013393</v>
      </c>
      <c r="AG94" s="279">
        <f t="shared" si="167"/>
        <v>1.1215550857754895</v>
      </c>
      <c r="AH94" s="279">
        <f t="shared" si="167"/>
        <v>1.1125826450892855</v>
      </c>
      <c r="AI94" s="279">
        <f t="shared" si="167"/>
        <v>0.80751966175835255</v>
      </c>
      <c r="AJ94" s="279">
        <f t="shared" si="167"/>
        <v>0.74172176339285723</v>
      </c>
      <c r="AK94" s="293">
        <f t="shared" si="134"/>
        <v>10.93815289987309</v>
      </c>
      <c r="AL94" s="279">
        <f t="shared" ref="AL94:AW94" si="168">AL22*$G22/128/31</f>
        <v>0.61192045479910717</v>
      </c>
      <c r="AM94" s="279">
        <f t="shared" si="168"/>
        <v>0.65057672008883571</v>
      </c>
      <c r="AN94" s="279">
        <f t="shared" si="168"/>
        <v>0.91788068219866081</v>
      </c>
      <c r="AO94" s="279">
        <f t="shared" si="168"/>
        <v>1.0856653230306741</v>
      </c>
      <c r="AP94" s="279">
        <f t="shared" si="168"/>
        <v>1.2238409095982143</v>
      </c>
      <c r="AQ94" s="279">
        <f t="shared" si="168"/>
        <v>1.0856653230306741</v>
      </c>
      <c r="AR94" s="279">
        <f t="shared" si="168"/>
        <v>1.0198674246651784</v>
      </c>
      <c r="AS94" s="279">
        <f t="shared" si="168"/>
        <v>1.2748342808314732</v>
      </c>
      <c r="AT94" s="279">
        <f t="shared" si="168"/>
        <v>1.2337105943530386</v>
      </c>
      <c r="AU94" s="279">
        <f t="shared" si="168"/>
        <v>1.2238409095982143</v>
      </c>
      <c r="AV94" s="279">
        <f t="shared" si="168"/>
        <v>0.88827162793418801</v>
      </c>
      <c r="AW94" s="279">
        <f t="shared" si="168"/>
        <v>0.81589393973214297</v>
      </c>
      <c r="AX94" s="293">
        <f t="shared" si="136"/>
        <v>12.031968189860402</v>
      </c>
      <c r="AY94" s="279">
        <f t="shared" ref="AY94:BJ94" si="169">AY22*$G22/128/31</f>
        <v>0.64251647753906249</v>
      </c>
      <c r="AZ94" s="279">
        <f t="shared" si="169"/>
        <v>0.6831055560932775</v>
      </c>
      <c r="BA94" s="279">
        <f t="shared" si="169"/>
        <v>0.9637747163085939</v>
      </c>
      <c r="BB94" s="279">
        <f t="shared" si="169"/>
        <v>1.1399485891822081</v>
      </c>
      <c r="BC94" s="279">
        <f t="shared" si="169"/>
        <v>1.285032955078125</v>
      </c>
      <c r="BD94" s="279">
        <f t="shared" si="169"/>
        <v>1.1399485891822081</v>
      </c>
      <c r="BE94" s="279">
        <f t="shared" si="169"/>
        <v>1.0708607958984375</v>
      </c>
      <c r="BF94" s="279">
        <f t="shared" si="169"/>
        <v>1.3385759948730471</v>
      </c>
      <c r="BG94" s="279">
        <f t="shared" si="169"/>
        <v>1.2953961240706904</v>
      </c>
      <c r="BH94" s="279">
        <f t="shared" si="169"/>
        <v>1.285032955078125</v>
      </c>
      <c r="BI94" s="279">
        <f t="shared" si="169"/>
        <v>0.93268520933089749</v>
      </c>
      <c r="BJ94" s="279">
        <f t="shared" si="169"/>
        <v>0.85668863671875017</v>
      </c>
      <c r="BK94" s="293">
        <f t="shared" si="138"/>
        <v>12.633566599353422</v>
      </c>
      <c r="BL94" s="279">
        <f t="shared" ref="BL94:BW94" si="170">BL22*$G22/128/31</f>
        <v>0.67464230141601556</v>
      </c>
      <c r="BM94" s="279">
        <f t="shared" si="170"/>
        <v>0.71726083389794137</v>
      </c>
      <c r="BN94" s="279">
        <f t="shared" si="170"/>
        <v>1.0119634521240237</v>
      </c>
      <c r="BO94" s="279">
        <f t="shared" si="170"/>
        <v>1.1969460186413186</v>
      </c>
      <c r="BP94" s="279">
        <f t="shared" si="170"/>
        <v>1.3492846028320311</v>
      </c>
      <c r="BQ94" s="279">
        <f t="shared" si="170"/>
        <v>1.1969460186413186</v>
      </c>
      <c r="BR94" s="279">
        <f t="shared" si="170"/>
        <v>1.1244038356933592</v>
      </c>
      <c r="BS94" s="279">
        <f t="shared" si="170"/>
        <v>1.4055047946166994</v>
      </c>
      <c r="BT94" s="279">
        <f t="shared" si="170"/>
        <v>1.3601659302742251</v>
      </c>
      <c r="BU94" s="279">
        <f t="shared" si="170"/>
        <v>1.3492846028320311</v>
      </c>
      <c r="BV94" s="279">
        <f t="shared" si="170"/>
        <v>0.97931946979744244</v>
      </c>
      <c r="BW94" s="279">
        <f t="shared" si="170"/>
        <v>0.89952306855468778</v>
      </c>
      <c r="BX94" s="293">
        <f t="shared" si="140"/>
        <v>13.265244929321092</v>
      </c>
    </row>
    <row r="95" spans="1:77" ht="15.75" customHeight="1">
      <c r="G95" s="106"/>
      <c r="H95" s="106"/>
      <c r="I95" s="92"/>
      <c r="J95" s="92" t="str">
        <f t="shared" si="125"/>
        <v>Rotating IPA #2</v>
      </c>
      <c r="L95" s="279">
        <f t="shared" ref="L95:W95" si="171">L23*$G23/128/31</f>
        <v>0.72559737723214279</v>
      </c>
      <c r="M95" s="279">
        <f t="shared" si="171"/>
        <v>0.771434845955141</v>
      </c>
      <c r="N95" s="279">
        <f t="shared" si="171"/>
        <v>1.0883960658482144</v>
      </c>
      <c r="O95" s="279">
        <f t="shared" si="171"/>
        <v>1.2873501854118663</v>
      </c>
      <c r="P95" s="279">
        <f t="shared" si="171"/>
        <v>1.4511947544642856</v>
      </c>
      <c r="Q95" s="279">
        <f t="shared" si="171"/>
        <v>1.2873501854118663</v>
      </c>
      <c r="R95" s="279">
        <f t="shared" si="171"/>
        <v>1.2093289620535712</v>
      </c>
      <c r="S95" s="279">
        <f t="shared" si="171"/>
        <v>1.511661202566964</v>
      </c>
      <c r="T95" s="279">
        <f t="shared" si="171"/>
        <v>1.4628979379680298</v>
      </c>
      <c r="U95" s="279">
        <f t="shared" si="171"/>
        <v>1.4511947544642856</v>
      </c>
      <c r="V95" s="279">
        <f t="shared" si="171"/>
        <v>1.0532865153369815</v>
      </c>
      <c r="W95" s="279">
        <f t="shared" si="171"/>
        <v>0.96746316964285717</v>
      </c>
      <c r="X95" s="293">
        <f t="shared" si="132"/>
        <v>14.267155956356206</v>
      </c>
      <c r="Y95" s="279">
        <f t="shared" ref="Y95:AJ95" si="172">Y23*$G23/128/31</f>
        <v>0.83443698381696407</v>
      </c>
      <c r="Z95" s="279">
        <f t="shared" si="172"/>
        <v>0.88715007284841207</v>
      </c>
      <c r="AA95" s="279">
        <f t="shared" si="172"/>
        <v>1.2516554757254466</v>
      </c>
      <c r="AB95" s="279">
        <f t="shared" si="172"/>
        <v>1.4804527132236462</v>
      </c>
      <c r="AC95" s="279">
        <f t="shared" si="172"/>
        <v>1.6688739676339281</v>
      </c>
      <c r="AD95" s="279">
        <f t="shared" si="172"/>
        <v>1.4804527132236462</v>
      </c>
      <c r="AE95" s="279">
        <f t="shared" si="172"/>
        <v>1.3907283063616069</v>
      </c>
      <c r="AF95" s="279">
        <f t="shared" si="172"/>
        <v>1.7384103829520088</v>
      </c>
      <c r="AG95" s="279">
        <f t="shared" si="172"/>
        <v>1.6823326286632341</v>
      </c>
      <c r="AH95" s="279">
        <f t="shared" si="172"/>
        <v>1.6688739676339281</v>
      </c>
      <c r="AI95" s="279">
        <f t="shared" si="172"/>
        <v>1.2112794926375288</v>
      </c>
      <c r="AJ95" s="279">
        <f t="shared" si="172"/>
        <v>1.1125826450892855</v>
      </c>
      <c r="AK95" s="293">
        <f t="shared" si="134"/>
        <v>16.407229349809636</v>
      </c>
      <c r="AL95" s="279">
        <f t="shared" ref="AL95:AW95" si="173">AL23*$G23/128/31</f>
        <v>0.91788068219866059</v>
      </c>
      <c r="AM95" s="279">
        <f t="shared" si="173"/>
        <v>0.97586508013325335</v>
      </c>
      <c r="AN95" s="279">
        <f t="shared" si="173"/>
        <v>1.3768210232979912</v>
      </c>
      <c r="AO95" s="279">
        <f t="shared" si="173"/>
        <v>1.6284979845460106</v>
      </c>
      <c r="AP95" s="279">
        <f t="shared" si="173"/>
        <v>1.8357613643973212</v>
      </c>
      <c r="AQ95" s="279">
        <f t="shared" si="173"/>
        <v>1.6284979845460106</v>
      </c>
      <c r="AR95" s="279">
        <f t="shared" si="173"/>
        <v>1.5298011369977678</v>
      </c>
      <c r="AS95" s="279">
        <f t="shared" si="173"/>
        <v>1.9122514212472097</v>
      </c>
      <c r="AT95" s="279">
        <f t="shared" si="173"/>
        <v>1.8505658915295577</v>
      </c>
      <c r="AU95" s="279">
        <f t="shared" si="173"/>
        <v>1.8357613643973212</v>
      </c>
      <c r="AV95" s="279">
        <f t="shared" si="173"/>
        <v>1.3324074419012817</v>
      </c>
      <c r="AW95" s="279">
        <f t="shared" si="173"/>
        <v>1.2238409095982143</v>
      </c>
      <c r="AX95" s="293">
        <f t="shared" si="136"/>
        <v>18.0479522847906</v>
      </c>
      <c r="AY95" s="279">
        <f t="shared" ref="AY95:BJ95" si="174">AY23*$G23/128/31</f>
        <v>0.96377471630859379</v>
      </c>
      <c r="AZ95" s="279">
        <f t="shared" si="174"/>
        <v>1.024658334139916</v>
      </c>
      <c r="BA95" s="279">
        <f t="shared" si="174"/>
        <v>1.4456620744628907</v>
      </c>
      <c r="BB95" s="279">
        <f t="shared" si="174"/>
        <v>1.7099228837733111</v>
      </c>
      <c r="BC95" s="279">
        <f t="shared" si="174"/>
        <v>1.9275494326171876</v>
      </c>
      <c r="BD95" s="279">
        <f t="shared" si="174"/>
        <v>1.7099228837733111</v>
      </c>
      <c r="BE95" s="279">
        <f t="shared" si="174"/>
        <v>1.6062911938476563</v>
      </c>
      <c r="BF95" s="279">
        <f t="shared" si="174"/>
        <v>2.00786399230957</v>
      </c>
      <c r="BG95" s="279">
        <f t="shared" si="174"/>
        <v>1.9430941861060358</v>
      </c>
      <c r="BH95" s="279">
        <f t="shared" si="174"/>
        <v>1.9275494326171876</v>
      </c>
      <c r="BI95" s="279">
        <f t="shared" si="174"/>
        <v>1.3990278139963459</v>
      </c>
      <c r="BJ95" s="279">
        <f t="shared" si="174"/>
        <v>1.285032955078125</v>
      </c>
      <c r="BK95" s="293">
        <f t="shared" si="138"/>
        <v>18.950349899030133</v>
      </c>
      <c r="BL95" s="279">
        <f t="shared" ref="BL95:BW95" si="175">BL23*$G23/128/31</f>
        <v>1.0119634521240235</v>
      </c>
      <c r="BM95" s="279">
        <f t="shared" si="175"/>
        <v>1.0758912508469118</v>
      </c>
      <c r="BN95" s="279">
        <f t="shared" si="175"/>
        <v>1.5179451781860354</v>
      </c>
      <c r="BO95" s="279">
        <f t="shared" si="175"/>
        <v>1.7954190279619771</v>
      </c>
      <c r="BP95" s="279">
        <f t="shared" si="175"/>
        <v>2.023926904248047</v>
      </c>
      <c r="BQ95" s="279">
        <f t="shared" si="175"/>
        <v>1.7954190279619771</v>
      </c>
      <c r="BR95" s="279">
        <f t="shared" si="175"/>
        <v>1.6866057535400392</v>
      </c>
      <c r="BS95" s="279">
        <f t="shared" si="175"/>
        <v>2.1082571919250488</v>
      </c>
      <c r="BT95" s="279">
        <f t="shared" si="175"/>
        <v>2.0402488954113376</v>
      </c>
      <c r="BU95" s="279">
        <f t="shared" si="175"/>
        <v>2.023926904248047</v>
      </c>
      <c r="BV95" s="279">
        <f t="shared" si="175"/>
        <v>1.4689792046961632</v>
      </c>
      <c r="BW95" s="279">
        <f t="shared" si="175"/>
        <v>1.3492846028320311</v>
      </c>
      <c r="BX95" s="293">
        <f t="shared" si="140"/>
        <v>19.897867393981638</v>
      </c>
    </row>
    <row r="96" spans="1:77" ht="15.75" customHeight="1">
      <c r="G96" s="106"/>
      <c r="H96" s="106"/>
      <c r="I96" s="92"/>
      <c r="J96" s="92" t="str">
        <f t="shared" si="125"/>
        <v>Special release</v>
      </c>
      <c r="L96" s="279">
        <f t="shared" ref="L96:W96" si="176">L24*$G24/128/31</f>
        <v>0.18928627232142858</v>
      </c>
      <c r="M96" s="279">
        <f t="shared" si="176"/>
        <v>0.20124387285786291</v>
      </c>
      <c r="N96" s="279">
        <f t="shared" si="176"/>
        <v>0.28392940848214288</v>
      </c>
      <c r="O96" s="279">
        <f t="shared" si="176"/>
        <v>0.33583048315092168</v>
      </c>
      <c r="P96" s="279">
        <f t="shared" si="176"/>
        <v>0.37857254464285717</v>
      </c>
      <c r="Q96" s="279">
        <f t="shared" si="176"/>
        <v>0.33583048315092168</v>
      </c>
      <c r="R96" s="279">
        <f t="shared" si="176"/>
        <v>0.31547712053571431</v>
      </c>
      <c r="S96" s="279">
        <f t="shared" si="176"/>
        <v>0.39434640066964283</v>
      </c>
      <c r="T96" s="279">
        <f t="shared" si="176"/>
        <v>0.38162554903513823</v>
      </c>
      <c r="U96" s="279">
        <f t="shared" si="176"/>
        <v>0.37857254464285717</v>
      </c>
      <c r="V96" s="279">
        <f t="shared" si="176"/>
        <v>0.27477039530529956</v>
      </c>
      <c r="W96" s="279">
        <f t="shared" si="176"/>
        <v>0.2523816964285715</v>
      </c>
      <c r="X96" s="293">
        <f t="shared" si="132"/>
        <v>3.7218667712233584</v>
      </c>
      <c r="Y96" s="279">
        <f t="shared" ref="Y96:AJ96" si="177">Y24*$G24/128/31</f>
        <v>0.21767921316964287</v>
      </c>
      <c r="Z96" s="279">
        <f t="shared" si="177"/>
        <v>0.23143045378654231</v>
      </c>
      <c r="AA96" s="279">
        <f t="shared" si="177"/>
        <v>0.32651881975446423</v>
      </c>
      <c r="AB96" s="279">
        <f t="shared" si="177"/>
        <v>0.38620505562355995</v>
      </c>
      <c r="AC96" s="279">
        <f t="shared" si="177"/>
        <v>0.43535842633928573</v>
      </c>
      <c r="AD96" s="279">
        <f t="shared" si="177"/>
        <v>0.38620505562355995</v>
      </c>
      <c r="AE96" s="279">
        <f t="shared" si="177"/>
        <v>0.3627986886160714</v>
      </c>
      <c r="AF96" s="279">
        <f t="shared" si="177"/>
        <v>0.45349836077008926</v>
      </c>
      <c r="AG96" s="279">
        <f t="shared" si="177"/>
        <v>0.43886938139040893</v>
      </c>
      <c r="AH96" s="279">
        <f t="shared" si="177"/>
        <v>0.43535842633928573</v>
      </c>
      <c r="AI96" s="279">
        <f t="shared" si="177"/>
        <v>0.31598595460109452</v>
      </c>
      <c r="AJ96" s="279">
        <f t="shared" si="177"/>
        <v>0.29023895089285717</v>
      </c>
      <c r="AK96" s="293">
        <f t="shared" si="134"/>
        <v>4.2801467869068617</v>
      </c>
      <c r="AL96" s="279">
        <f t="shared" ref="AL96:AW96" si="178">AL24*$G24/128/31</f>
        <v>0.23944713448660715</v>
      </c>
      <c r="AM96" s="279">
        <f t="shared" si="178"/>
        <v>0.25457349916519656</v>
      </c>
      <c r="AN96" s="279">
        <f t="shared" si="178"/>
        <v>0.35917070172991072</v>
      </c>
      <c r="AO96" s="279">
        <f t="shared" si="178"/>
        <v>0.42482556118591597</v>
      </c>
      <c r="AP96" s="279">
        <f t="shared" si="178"/>
        <v>0.4788942689732143</v>
      </c>
      <c r="AQ96" s="279">
        <f t="shared" si="178"/>
        <v>0.42482556118591597</v>
      </c>
      <c r="AR96" s="279">
        <f t="shared" si="178"/>
        <v>0.39907855747767862</v>
      </c>
      <c r="AS96" s="279">
        <f t="shared" si="178"/>
        <v>0.49884819684709825</v>
      </c>
      <c r="AT96" s="279">
        <f t="shared" si="178"/>
        <v>0.48275631952944986</v>
      </c>
      <c r="AU96" s="279">
        <f t="shared" si="178"/>
        <v>0.4788942689732143</v>
      </c>
      <c r="AV96" s="279">
        <f t="shared" si="178"/>
        <v>0.34758455006120398</v>
      </c>
      <c r="AW96" s="279">
        <f t="shared" si="178"/>
        <v>0.31926284598214288</v>
      </c>
      <c r="AX96" s="293">
        <f t="shared" si="136"/>
        <v>4.7081614655975486</v>
      </c>
      <c r="AY96" s="279">
        <f t="shared" ref="AY96:BJ96" si="179">AY24*$G24/128/31</f>
        <v>0.25141949121093748</v>
      </c>
      <c r="AZ96" s="279">
        <f t="shared" si="179"/>
        <v>0.26730217412345642</v>
      </c>
      <c r="BA96" s="279">
        <f t="shared" si="179"/>
        <v>0.37712923681640631</v>
      </c>
      <c r="BB96" s="279">
        <f t="shared" si="179"/>
        <v>0.44606683924521184</v>
      </c>
      <c r="BC96" s="279">
        <f t="shared" si="179"/>
        <v>0.50283898242187497</v>
      </c>
      <c r="BD96" s="279">
        <f t="shared" si="179"/>
        <v>0.44606683924521184</v>
      </c>
      <c r="BE96" s="279">
        <f t="shared" si="179"/>
        <v>0.41903248535156251</v>
      </c>
      <c r="BF96" s="279">
        <f t="shared" si="179"/>
        <v>0.52379060668945321</v>
      </c>
      <c r="BG96" s="279">
        <f t="shared" si="179"/>
        <v>0.50689413550592233</v>
      </c>
      <c r="BH96" s="279">
        <f t="shared" si="179"/>
        <v>0.50283898242187497</v>
      </c>
      <c r="BI96" s="279">
        <f t="shared" si="179"/>
        <v>0.36496377756426424</v>
      </c>
      <c r="BJ96" s="279">
        <f t="shared" si="179"/>
        <v>0.33522598828125005</v>
      </c>
      <c r="BK96" s="293">
        <f t="shared" si="138"/>
        <v>4.9435695388774263</v>
      </c>
      <c r="BL96" s="279">
        <f t="shared" ref="BL96:BW96" si="180">BL24*$G24/128/31</f>
        <v>0.26399046577148438</v>
      </c>
      <c r="BM96" s="279">
        <f t="shared" si="180"/>
        <v>0.28066728282962922</v>
      </c>
      <c r="BN96" s="279">
        <f t="shared" si="180"/>
        <v>0.3959856986572266</v>
      </c>
      <c r="BO96" s="279">
        <f t="shared" si="180"/>
        <v>0.46837018120747242</v>
      </c>
      <c r="BP96" s="279">
        <f t="shared" si="180"/>
        <v>0.52798093154296877</v>
      </c>
      <c r="BQ96" s="279">
        <f t="shared" si="180"/>
        <v>0.46837018120747242</v>
      </c>
      <c r="BR96" s="279">
        <f t="shared" si="180"/>
        <v>0.43998410961914064</v>
      </c>
      <c r="BS96" s="279">
        <f t="shared" si="180"/>
        <v>0.5499801370239259</v>
      </c>
      <c r="BT96" s="279">
        <f t="shared" si="180"/>
        <v>0.53223884228121843</v>
      </c>
      <c r="BU96" s="279">
        <f t="shared" si="180"/>
        <v>0.52798093154296877</v>
      </c>
      <c r="BV96" s="279">
        <f t="shared" si="180"/>
        <v>0.38321196644247746</v>
      </c>
      <c r="BW96" s="279">
        <f t="shared" si="180"/>
        <v>0.35198728769531257</v>
      </c>
      <c r="BX96" s="293">
        <f t="shared" si="140"/>
        <v>5.1907480158212973</v>
      </c>
    </row>
    <row r="97" spans="7:76" ht="15.75" customHeight="1">
      <c r="G97" s="106"/>
      <c r="H97" s="106"/>
      <c r="I97" s="92"/>
      <c r="J97" s="92">
        <f t="shared" si="125"/>
        <v>0</v>
      </c>
      <c r="L97" s="279">
        <f t="shared" ref="L97:W97" si="181">L25*$G25/128/31</f>
        <v>0</v>
      </c>
      <c r="M97" s="279">
        <f t="shared" si="181"/>
        <v>0</v>
      </c>
      <c r="N97" s="279">
        <f t="shared" si="181"/>
        <v>0</v>
      </c>
      <c r="O97" s="279">
        <f t="shared" si="181"/>
        <v>0</v>
      </c>
      <c r="P97" s="279">
        <f t="shared" si="181"/>
        <v>0</v>
      </c>
      <c r="Q97" s="279">
        <f t="shared" si="181"/>
        <v>0</v>
      </c>
      <c r="R97" s="279">
        <f t="shared" si="181"/>
        <v>0</v>
      </c>
      <c r="S97" s="279">
        <f t="shared" si="181"/>
        <v>0</v>
      </c>
      <c r="T97" s="279">
        <f t="shared" si="181"/>
        <v>0</v>
      </c>
      <c r="U97" s="279">
        <f t="shared" si="181"/>
        <v>0</v>
      </c>
      <c r="V97" s="279">
        <f t="shared" si="181"/>
        <v>0</v>
      </c>
      <c r="W97" s="279">
        <f t="shared" si="181"/>
        <v>0</v>
      </c>
      <c r="X97" s="293">
        <f>SUM(L97:W97)</f>
        <v>0</v>
      </c>
      <c r="Y97" s="279">
        <f t="shared" ref="Y97:AJ97" si="182">Y25*$G25/128/31</f>
        <v>0</v>
      </c>
      <c r="Z97" s="279">
        <f t="shared" si="182"/>
        <v>0</v>
      </c>
      <c r="AA97" s="279">
        <f t="shared" si="182"/>
        <v>0</v>
      </c>
      <c r="AB97" s="279">
        <f t="shared" si="182"/>
        <v>0</v>
      </c>
      <c r="AC97" s="279">
        <f t="shared" si="182"/>
        <v>0</v>
      </c>
      <c r="AD97" s="279">
        <f t="shared" si="182"/>
        <v>0</v>
      </c>
      <c r="AE97" s="279">
        <f t="shared" si="182"/>
        <v>0</v>
      </c>
      <c r="AF97" s="279">
        <f t="shared" si="182"/>
        <v>0</v>
      </c>
      <c r="AG97" s="279">
        <f t="shared" si="182"/>
        <v>0</v>
      </c>
      <c r="AH97" s="279">
        <f t="shared" si="182"/>
        <v>0</v>
      </c>
      <c r="AI97" s="279">
        <f t="shared" si="182"/>
        <v>0</v>
      </c>
      <c r="AJ97" s="279">
        <f t="shared" si="182"/>
        <v>0</v>
      </c>
      <c r="AK97" s="293">
        <f t="shared" si="134"/>
        <v>0</v>
      </c>
      <c r="AL97" s="279">
        <f t="shared" ref="AL97:AW97" si="183">AL25*$G25/128/31</f>
        <v>0</v>
      </c>
      <c r="AM97" s="279">
        <f t="shared" si="183"/>
        <v>0</v>
      </c>
      <c r="AN97" s="279">
        <f t="shared" si="183"/>
        <v>0</v>
      </c>
      <c r="AO97" s="279">
        <f t="shared" si="183"/>
        <v>0</v>
      </c>
      <c r="AP97" s="279">
        <f t="shared" si="183"/>
        <v>0</v>
      </c>
      <c r="AQ97" s="279">
        <f t="shared" si="183"/>
        <v>0</v>
      </c>
      <c r="AR97" s="279">
        <f t="shared" si="183"/>
        <v>0</v>
      </c>
      <c r="AS97" s="279">
        <f t="shared" si="183"/>
        <v>0</v>
      </c>
      <c r="AT97" s="279">
        <f t="shared" si="183"/>
        <v>0</v>
      </c>
      <c r="AU97" s="279">
        <f t="shared" si="183"/>
        <v>0</v>
      </c>
      <c r="AV97" s="279">
        <f t="shared" si="183"/>
        <v>0</v>
      </c>
      <c r="AW97" s="279">
        <f t="shared" si="183"/>
        <v>0</v>
      </c>
      <c r="AX97" s="293">
        <f t="shared" si="136"/>
        <v>0</v>
      </c>
      <c r="AY97" s="279">
        <f t="shared" ref="AY97:BJ97" si="184">AY25*$G25/128/31</f>
        <v>0</v>
      </c>
      <c r="AZ97" s="279">
        <f t="shared" si="184"/>
        <v>0</v>
      </c>
      <c r="BA97" s="279">
        <f t="shared" si="184"/>
        <v>0</v>
      </c>
      <c r="BB97" s="279">
        <f t="shared" si="184"/>
        <v>0</v>
      </c>
      <c r="BC97" s="279">
        <f t="shared" si="184"/>
        <v>0</v>
      </c>
      <c r="BD97" s="279">
        <f t="shared" si="184"/>
        <v>0</v>
      </c>
      <c r="BE97" s="279">
        <f t="shared" si="184"/>
        <v>0</v>
      </c>
      <c r="BF97" s="279">
        <f t="shared" si="184"/>
        <v>0</v>
      </c>
      <c r="BG97" s="279">
        <f t="shared" si="184"/>
        <v>0</v>
      </c>
      <c r="BH97" s="279">
        <f t="shared" si="184"/>
        <v>0</v>
      </c>
      <c r="BI97" s="279">
        <f t="shared" si="184"/>
        <v>0</v>
      </c>
      <c r="BJ97" s="279">
        <f t="shared" si="184"/>
        <v>0</v>
      </c>
      <c r="BK97" s="293">
        <f t="shared" si="138"/>
        <v>0</v>
      </c>
      <c r="BL97" s="279">
        <f t="shared" ref="BL97:BW97" si="185">BL25*$G25/128/31</f>
        <v>0</v>
      </c>
      <c r="BM97" s="279">
        <f t="shared" si="185"/>
        <v>0</v>
      </c>
      <c r="BN97" s="279">
        <f t="shared" si="185"/>
        <v>0</v>
      </c>
      <c r="BO97" s="279">
        <f t="shared" si="185"/>
        <v>0</v>
      </c>
      <c r="BP97" s="279">
        <f t="shared" si="185"/>
        <v>0</v>
      </c>
      <c r="BQ97" s="279">
        <f t="shared" si="185"/>
        <v>0</v>
      </c>
      <c r="BR97" s="279">
        <f t="shared" si="185"/>
        <v>0</v>
      </c>
      <c r="BS97" s="279">
        <f t="shared" si="185"/>
        <v>0</v>
      </c>
      <c r="BT97" s="279">
        <f t="shared" si="185"/>
        <v>0</v>
      </c>
      <c r="BU97" s="279">
        <f t="shared" si="185"/>
        <v>0</v>
      </c>
      <c r="BV97" s="279">
        <f t="shared" si="185"/>
        <v>0</v>
      </c>
      <c r="BW97" s="279">
        <f t="shared" si="185"/>
        <v>0</v>
      </c>
      <c r="BX97" s="293">
        <f t="shared" si="140"/>
        <v>0</v>
      </c>
    </row>
    <row r="98" spans="7:76" ht="15.75" customHeight="1">
      <c r="G98" s="106"/>
      <c r="H98" s="106"/>
      <c r="I98" s="92"/>
      <c r="J98" s="92">
        <f t="shared" si="125"/>
        <v>0</v>
      </c>
      <c r="L98" s="279">
        <f t="shared" ref="L98:W98" si="186">L26*$G26/128/31</f>
        <v>0</v>
      </c>
      <c r="M98" s="279">
        <f t="shared" si="186"/>
        <v>0</v>
      </c>
      <c r="N98" s="279">
        <f t="shared" si="186"/>
        <v>0</v>
      </c>
      <c r="O98" s="279">
        <f t="shared" si="186"/>
        <v>0</v>
      </c>
      <c r="P98" s="279">
        <f t="shared" si="186"/>
        <v>0</v>
      </c>
      <c r="Q98" s="279">
        <f t="shared" si="186"/>
        <v>0</v>
      </c>
      <c r="R98" s="279">
        <f t="shared" si="186"/>
        <v>0</v>
      </c>
      <c r="S98" s="279">
        <f t="shared" si="186"/>
        <v>0</v>
      </c>
      <c r="T98" s="279">
        <f t="shared" si="186"/>
        <v>0</v>
      </c>
      <c r="U98" s="279">
        <f t="shared" si="186"/>
        <v>0</v>
      </c>
      <c r="V98" s="279">
        <f t="shared" si="186"/>
        <v>0</v>
      </c>
      <c r="W98" s="279">
        <f t="shared" si="186"/>
        <v>0</v>
      </c>
      <c r="X98" s="293">
        <f>SUM(L98:W98)</f>
        <v>0</v>
      </c>
      <c r="Y98" s="279">
        <f t="shared" ref="Y98:AJ98" si="187">Y26*$G26/128/31</f>
        <v>0</v>
      </c>
      <c r="Z98" s="279">
        <f t="shared" si="187"/>
        <v>0</v>
      </c>
      <c r="AA98" s="279">
        <f t="shared" si="187"/>
        <v>0</v>
      </c>
      <c r="AB98" s="279">
        <f t="shared" si="187"/>
        <v>0</v>
      </c>
      <c r="AC98" s="279">
        <f t="shared" si="187"/>
        <v>0</v>
      </c>
      <c r="AD98" s="279">
        <f t="shared" si="187"/>
        <v>0</v>
      </c>
      <c r="AE98" s="279">
        <f t="shared" si="187"/>
        <v>0</v>
      </c>
      <c r="AF98" s="279">
        <f t="shared" si="187"/>
        <v>0</v>
      </c>
      <c r="AG98" s="279">
        <f t="shared" si="187"/>
        <v>0</v>
      </c>
      <c r="AH98" s="279">
        <f t="shared" si="187"/>
        <v>0</v>
      </c>
      <c r="AI98" s="279">
        <f t="shared" si="187"/>
        <v>0</v>
      </c>
      <c r="AJ98" s="279">
        <f t="shared" si="187"/>
        <v>0</v>
      </c>
      <c r="AK98" s="293">
        <f t="shared" si="134"/>
        <v>0</v>
      </c>
      <c r="AL98" s="279">
        <f t="shared" ref="AL98:AW98" si="188">AL26*$G26/128/31</f>
        <v>0</v>
      </c>
      <c r="AM98" s="279">
        <f t="shared" si="188"/>
        <v>0</v>
      </c>
      <c r="AN98" s="279">
        <f t="shared" si="188"/>
        <v>0</v>
      </c>
      <c r="AO98" s="279">
        <f t="shared" si="188"/>
        <v>0</v>
      </c>
      <c r="AP98" s="279">
        <f t="shared" si="188"/>
        <v>0</v>
      </c>
      <c r="AQ98" s="279">
        <f t="shared" si="188"/>
        <v>0</v>
      </c>
      <c r="AR98" s="279">
        <f t="shared" si="188"/>
        <v>0</v>
      </c>
      <c r="AS98" s="279">
        <f t="shared" si="188"/>
        <v>0</v>
      </c>
      <c r="AT98" s="279">
        <f t="shared" si="188"/>
        <v>0</v>
      </c>
      <c r="AU98" s="279">
        <f t="shared" si="188"/>
        <v>0</v>
      </c>
      <c r="AV98" s="279">
        <f t="shared" si="188"/>
        <v>0</v>
      </c>
      <c r="AW98" s="279">
        <f t="shared" si="188"/>
        <v>0</v>
      </c>
      <c r="AX98" s="293">
        <f t="shared" si="136"/>
        <v>0</v>
      </c>
      <c r="AY98" s="279">
        <f t="shared" ref="AY98:BJ98" si="189">AY26*$G26/128/31</f>
        <v>0</v>
      </c>
      <c r="AZ98" s="279">
        <f t="shared" si="189"/>
        <v>0</v>
      </c>
      <c r="BA98" s="279">
        <f t="shared" si="189"/>
        <v>0</v>
      </c>
      <c r="BB98" s="279">
        <f t="shared" si="189"/>
        <v>0</v>
      </c>
      <c r="BC98" s="279">
        <f t="shared" si="189"/>
        <v>0</v>
      </c>
      <c r="BD98" s="279">
        <f t="shared" si="189"/>
        <v>0</v>
      </c>
      <c r="BE98" s="279">
        <f t="shared" si="189"/>
        <v>0</v>
      </c>
      <c r="BF98" s="279">
        <f t="shared" si="189"/>
        <v>0</v>
      </c>
      <c r="BG98" s="279">
        <f t="shared" si="189"/>
        <v>0</v>
      </c>
      <c r="BH98" s="279">
        <f t="shared" si="189"/>
        <v>0</v>
      </c>
      <c r="BI98" s="279">
        <f t="shared" si="189"/>
        <v>0</v>
      </c>
      <c r="BJ98" s="279">
        <f t="shared" si="189"/>
        <v>0</v>
      </c>
      <c r="BK98" s="293">
        <f t="shared" si="138"/>
        <v>0</v>
      </c>
      <c r="BL98" s="279">
        <f t="shared" ref="BL98:BW98" si="190">BL26*$G26/128/31</f>
        <v>0</v>
      </c>
      <c r="BM98" s="279">
        <f t="shared" si="190"/>
        <v>0</v>
      </c>
      <c r="BN98" s="279">
        <f t="shared" si="190"/>
        <v>0</v>
      </c>
      <c r="BO98" s="279">
        <f t="shared" si="190"/>
        <v>0</v>
      </c>
      <c r="BP98" s="279">
        <f t="shared" si="190"/>
        <v>0</v>
      </c>
      <c r="BQ98" s="279">
        <f t="shared" si="190"/>
        <v>0</v>
      </c>
      <c r="BR98" s="279">
        <f t="shared" si="190"/>
        <v>0</v>
      </c>
      <c r="BS98" s="279">
        <f t="shared" si="190"/>
        <v>0</v>
      </c>
      <c r="BT98" s="279">
        <f t="shared" si="190"/>
        <v>0</v>
      </c>
      <c r="BU98" s="279">
        <f t="shared" si="190"/>
        <v>0</v>
      </c>
      <c r="BV98" s="279">
        <f t="shared" si="190"/>
        <v>0</v>
      </c>
      <c r="BW98" s="279">
        <f t="shared" si="190"/>
        <v>0</v>
      </c>
      <c r="BX98" s="293">
        <f t="shared" si="140"/>
        <v>0</v>
      </c>
    </row>
    <row r="99" spans="7:76" ht="15.75" customHeight="1">
      <c r="G99" s="106"/>
      <c r="H99" s="106"/>
      <c r="I99" s="92"/>
      <c r="J99" s="92">
        <f t="shared" si="125"/>
        <v>0</v>
      </c>
      <c r="L99" s="279">
        <f t="shared" ref="L99:W99" si="191">L27*$G27/128/31</f>
        <v>0</v>
      </c>
      <c r="M99" s="279">
        <f t="shared" si="191"/>
        <v>0</v>
      </c>
      <c r="N99" s="279">
        <f t="shared" si="191"/>
        <v>0</v>
      </c>
      <c r="O99" s="279">
        <f t="shared" si="191"/>
        <v>0</v>
      </c>
      <c r="P99" s="279">
        <f t="shared" si="191"/>
        <v>0</v>
      </c>
      <c r="Q99" s="279">
        <f t="shared" si="191"/>
        <v>0</v>
      </c>
      <c r="R99" s="279">
        <f t="shared" si="191"/>
        <v>0</v>
      </c>
      <c r="S99" s="279">
        <f t="shared" si="191"/>
        <v>0</v>
      </c>
      <c r="T99" s="279">
        <f t="shared" si="191"/>
        <v>0</v>
      </c>
      <c r="U99" s="279">
        <f t="shared" si="191"/>
        <v>0</v>
      </c>
      <c r="V99" s="279">
        <f t="shared" si="191"/>
        <v>0</v>
      </c>
      <c r="W99" s="279">
        <f t="shared" si="191"/>
        <v>0</v>
      </c>
      <c r="X99" s="293">
        <f>SUM(L99:W99)</f>
        <v>0</v>
      </c>
      <c r="Y99" s="279">
        <f t="shared" ref="Y99:AJ99" si="192">Y27*$G27/128/31</f>
        <v>0</v>
      </c>
      <c r="Z99" s="279">
        <f t="shared" si="192"/>
        <v>0</v>
      </c>
      <c r="AA99" s="279">
        <f t="shared" si="192"/>
        <v>0</v>
      </c>
      <c r="AB99" s="279">
        <f t="shared" si="192"/>
        <v>0</v>
      </c>
      <c r="AC99" s="279">
        <f t="shared" si="192"/>
        <v>0</v>
      </c>
      <c r="AD99" s="279">
        <f t="shared" si="192"/>
        <v>0</v>
      </c>
      <c r="AE99" s="279">
        <f t="shared" si="192"/>
        <v>0</v>
      </c>
      <c r="AF99" s="279">
        <f t="shared" si="192"/>
        <v>0</v>
      </c>
      <c r="AG99" s="279">
        <f t="shared" si="192"/>
        <v>0</v>
      </c>
      <c r="AH99" s="279">
        <f t="shared" si="192"/>
        <v>0</v>
      </c>
      <c r="AI99" s="279">
        <f t="shared" si="192"/>
        <v>0</v>
      </c>
      <c r="AJ99" s="279">
        <f t="shared" si="192"/>
        <v>0</v>
      </c>
      <c r="AK99" s="293">
        <f t="shared" si="134"/>
        <v>0</v>
      </c>
      <c r="AL99" s="279">
        <f t="shared" ref="AL99:AW99" si="193">AL27*$G27/128/31</f>
        <v>0</v>
      </c>
      <c r="AM99" s="279">
        <f t="shared" si="193"/>
        <v>0</v>
      </c>
      <c r="AN99" s="279">
        <f t="shared" si="193"/>
        <v>0</v>
      </c>
      <c r="AO99" s="279">
        <f t="shared" si="193"/>
        <v>0</v>
      </c>
      <c r="AP99" s="279">
        <f t="shared" si="193"/>
        <v>0</v>
      </c>
      <c r="AQ99" s="279">
        <f t="shared" si="193"/>
        <v>0</v>
      </c>
      <c r="AR99" s="279">
        <f t="shared" si="193"/>
        <v>0</v>
      </c>
      <c r="AS99" s="279">
        <f t="shared" si="193"/>
        <v>0</v>
      </c>
      <c r="AT99" s="279">
        <f t="shared" si="193"/>
        <v>0</v>
      </c>
      <c r="AU99" s="279">
        <f t="shared" si="193"/>
        <v>0</v>
      </c>
      <c r="AV99" s="279">
        <f t="shared" si="193"/>
        <v>0</v>
      </c>
      <c r="AW99" s="279">
        <f t="shared" si="193"/>
        <v>0</v>
      </c>
      <c r="AX99" s="293">
        <f t="shared" si="136"/>
        <v>0</v>
      </c>
      <c r="AY99" s="279">
        <f t="shared" ref="AY99:BJ99" si="194">AY27*$G27/128/31</f>
        <v>0</v>
      </c>
      <c r="AZ99" s="279">
        <f t="shared" si="194"/>
        <v>0</v>
      </c>
      <c r="BA99" s="279">
        <f t="shared" si="194"/>
        <v>0</v>
      </c>
      <c r="BB99" s="279">
        <f t="shared" si="194"/>
        <v>0</v>
      </c>
      <c r="BC99" s="279">
        <f t="shared" si="194"/>
        <v>0</v>
      </c>
      <c r="BD99" s="279">
        <f t="shared" si="194"/>
        <v>0</v>
      </c>
      <c r="BE99" s="279">
        <f t="shared" si="194"/>
        <v>0</v>
      </c>
      <c r="BF99" s="279">
        <f t="shared" si="194"/>
        <v>0</v>
      </c>
      <c r="BG99" s="279">
        <f t="shared" si="194"/>
        <v>0</v>
      </c>
      <c r="BH99" s="279">
        <f t="shared" si="194"/>
        <v>0</v>
      </c>
      <c r="BI99" s="279">
        <f t="shared" si="194"/>
        <v>0</v>
      </c>
      <c r="BJ99" s="279">
        <f t="shared" si="194"/>
        <v>0</v>
      </c>
      <c r="BK99" s="293">
        <f t="shared" si="138"/>
        <v>0</v>
      </c>
      <c r="BL99" s="279">
        <f t="shared" ref="BL99:BW99" si="195">BL27*$G27/128/31</f>
        <v>0</v>
      </c>
      <c r="BM99" s="279">
        <f t="shared" si="195"/>
        <v>0</v>
      </c>
      <c r="BN99" s="279">
        <f t="shared" si="195"/>
        <v>0</v>
      </c>
      <c r="BO99" s="279">
        <f t="shared" si="195"/>
        <v>0</v>
      </c>
      <c r="BP99" s="279">
        <f t="shared" si="195"/>
        <v>0</v>
      </c>
      <c r="BQ99" s="279">
        <f t="shared" si="195"/>
        <v>0</v>
      </c>
      <c r="BR99" s="279">
        <f t="shared" si="195"/>
        <v>0</v>
      </c>
      <c r="BS99" s="279">
        <f t="shared" si="195"/>
        <v>0</v>
      </c>
      <c r="BT99" s="279">
        <f t="shared" si="195"/>
        <v>0</v>
      </c>
      <c r="BU99" s="279">
        <f t="shared" si="195"/>
        <v>0</v>
      </c>
      <c r="BV99" s="279">
        <f t="shared" si="195"/>
        <v>0</v>
      </c>
      <c r="BW99" s="279">
        <f t="shared" si="195"/>
        <v>0</v>
      </c>
      <c r="BX99" s="293">
        <f t="shared" si="140"/>
        <v>0</v>
      </c>
    </row>
    <row r="100" spans="7:76" ht="15.75" customHeight="1">
      <c r="G100" s="106"/>
      <c r="H100" s="106"/>
      <c r="I100" s="92"/>
      <c r="J100" s="92"/>
      <c r="L100" s="279"/>
      <c r="M100" s="279"/>
      <c r="N100" s="279"/>
      <c r="O100" s="279"/>
      <c r="P100" s="279"/>
      <c r="Q100" s="279"/>
      <c r="R100" s="279"/>
      <c r="S100" s="279"/>
      <c r="T100" s="279"/>
      <c r="U100" s="279"/>
      <c r="V100" s="279"/>
      <c r="W100" s="279"/>
      <c r="X100" s="293"/>
      <c r="Y100" s="279"/>
      <c r="Z100" s="279"/>
      <c r="AA100" s="279"/>
      <c r="AB100" s="279"/>
      <c r="AC100" s="279"/>
      <c r="AD100" s="279"/>
      <c r="AE100" s="279"/>
      <c r="AF100" s="279"/>
      <c r="AG100" s="279"/>
      <c r="AH100" s="279"/>
      <c r="AI100" s="279"/>
      <c r="AJ100" s="279"/>
      <c r="AK100" s="293"/>
      <c r="AL100" s="279"/>
      <c r="AM100" s="279"/>
      <c r="AN100" s="279"/>
      <c r="AO100" s="279"/>
      <c r="AP100" s="279"/>
      <c r="AQ100" s="279"/>
      <c r="AR100" s="279"/>
      <c r="AS100" s="279"/>
      <c r="AT100" s="279"/>
      <c r="AU100" s="279"/>
      <c r="AV100" s="279"/>
      <c r="AW100" s="279"/>
      <c r="AX100" s="293"/>
      <c r="AY100" s="279"/>
      <c r="AZ100" s="279"/>
      <c r="BA100" s="279"/>
      <c r="BB100" s="279"/>
      <c r="BC100" s="279"/>
      <c r="BD100" s="279"/>
      <c r="BE100" s="279"/>
      <c r="BF100" s="279"/>
      <c r="BG100" s="279"/>
      <c r="BH100" s="279"/>
      <c r="BI100" s="279"/>
      <c r="BJ100" s="279"/>
      <c r="BK100" s="293"/>
      <c r="BL100" s="279"/>
      <c r="BM100" s="279"/>
      <c r="BN100" s="279"/>
      <c r="BO100" s="279"/>
      <c r="BP100" s="279"/>
      <c r="BQ100" s="279"/>
      <c r="BR100" s="279"/>
      <c r="BS100" s="279"/>
      <c r="BT100" s="279"/>
      <c r="BU100" s="279"/>
      <c r="BV100" s="279"/>
      <c r="BW100" s="279"/>
      <c r="BX100" s="293"/>
    </row>
    <row r="101" spans="7:76" ht="15.75" customHeight="1">
      <c r="G101" s="106"/>
      <c r="H101" s="106"/>
      <c r="I101" s="92"/>
      <c r="J101" s="92"/>
      <c r="X101" s="293"/>
      <c r="Y101"/>
      <c r="AK101" s="293"/>
      <c r="AL101"/>
      <c r="AX101" s="293"/>
      <c r="AY101"/>
      <c r="BK101" s="293"/>
      <c r="BL101"/>
      <c r="BX101" s="293"/>
    </row>
    <row r="102" spans="7:76" ht="15.75" customHeight="1">
      <c r="G102" s="106"/>
      <c r="H102" s="106"/>
      <c r="I102" s="255" t="s">
        <v>516</v>
      </c>
      <c r="J102" s="92"/>
      <c r="L102" s="279"/>
      <c r="X102" s="293"/>
      <c r="Y102" s="279"/>
      <c r="AK102" s="293"/>
      <c r="AL102" s="279"/>
      <c r="AX102" s="293"/>
      <c r="AY102" s="279"/>
      <c r="BK102" s="293"/>
      <c r="BL102" s="279"/>
      <c r="BX102" s="293"/>
    </row>
    <row r="103" spans="7:76" ht="15.75" customHeight="1">
      <c r="G103" s="106"/>
      <c r="H103" s="106"/>
      <c r="I103" s="92"/>
      <c r="J103" s="92" t="str">
        <f t="shared" ref="J103:J115" si="196">J87</f>
        <v>Core 1 - Lager</v>
      </c>
      <c r="L103" s="279">
        <f t="shared" ref="L103:W103" si="197">L31*16*4/128/31</f>
        <v>0.2742857142857143</v>
      </c>
      <c r="M103" s="279">
        <f t="shared" si="197"/>
        <v>0.29161290322580641</v>
      </c>
      <c r="N103" s="279">
        <f t="shared" si="197"/>
        <v>0.41142857142857148</v>
      </c>
      <c r="O103" s="279">
        <f t="shared" si="197"/>
        <v>0.4866359447004609</v>
      </c>
      <c r="P103" s="279">
        <f t="shared" si="197"/>
        <v>0.5485714285714286</v>
      </c>
      <c r="Q103" s="279">
        <f t="shared" si="197"/>
        <v>0.4866359447004609</v>
      </c>
      <c r="R103" s="279">
        <f t="shared" si="197"/>
        <v>0.45714285714285718</v>
      </c>
      <c r="S103" s="279">
        <f t="shared" si="197"/>
        <v>0.57142857142857162</v>
      </c>
      <c r="T103" s="279">
        <f t="shared" si="197"/>
        <v>0.55299539170506906</v>
      </c>
      <c r="U103" s="279">
        <f t="shared" si="197"/>
        <v>0.5485714285714286</v>
      </c>
      <c r="V103" s="279">
        <f t="shared" si="197"/>
        <v>0.39815668202764981</v>
      </c>
      <c r="W103" s="279">
        <f t="shared" si="197"/>
        <v>0.36571428571428577</v>
      </c>
      <c r="X103" s="293">
        <f t="shared" si="132"/>
        <v>5.3931797235023042</v>
      </c>
      <c r="Y103" s="279">
        <f t="shared" ref="Y103:AJ103" si="198">Y31*16*4/128/31</f>
        <v>0.31542857142857139</v>
      </c>
      <c r="Z103" s="279">
        <f t="shared" si="198"/>
        <v>0.33535483870967736</v>
      </c>
      <c r="AA103" s="279">
        <f t="shared" si="198"/>
        <v>0.4731428571428572</v>
      </c>
      <c r="AB103" s="279">
        <f t="shared" si="198"/>
        <v>0.55963133640552998</v>
      </c>
      <c r="AC103" s="279">
        <f t="shared" si="198"/>
        <v>0.63085714285714278</v>
      </c>
      <c r="AD103" s="279">
        <f t="shared" si="198"/>
        <v>0.55963133640552998</v>
      </c>
      <c r="AE103" s="279">
        <f t="shared" si="198"/>
        <v>0.5257142857142858</v>
      </c>
      <c r="AF103" s="279">
        <f t="shared" si="198"/>
        <v>0.65714285714285725</v>
      </c>
      <c r="AG103" s="279">
        <f t="shared" si="198"/>
        <v>0.6359447004608294</v>
      </c>
      <c r="AH103" s="279">
        <f t="shared" si="198"/>
        <v>0.63085714285714278</v>
      </c>
      <c r="AI103" s="279">
        <f t="shared" si="198"/>
        <v>0.45788018433179722</v>
      </c>
      <c r="AJ103" s="279">
        <f t="shared" si="198"/>
        <v>0.42057142857142854</v>
      </c>
      <c r="AK103" s="293">
        <f t="shared" ref="AK103:AK115" si="199">SUM(Y103:AJ103)</f>
        <v>6.2021566820276499</v>
      </c>
      <c r="AL103" s="279">
        <f t="shared" ref="AL103:AW103" si="200">AL31*16*4/128/31</f>
        <v>0.3469714285714286</v>
      </c>
      <c r="AM103" s="279">
        <f t="shared" si="200"/>
        <v>0.36889032258064514</v>
      </c>
      <c r="AN103" s="279">
        <f t="shared" si="200"/>
        <v>0.52045714285714295</v>
      </c>
      <c r="AO103" s="279">
        <f t="shared" si="200"/>
        <v>0.61559447004608303</v>
      </c>
      <c r="AP103" s="279">
        <f t="shared" si="200"/>
        <v>0.69394285714285719</v>
      </c>
      <c r="AQ103" s="279">
        <f t="shared" si="200"/>
        <v>0.61559447004608303</v>
      </c>
      <c r="AR103" s="279">
        <f t="shared" si="200"/>
        <v>0.5782857142857144</v>
      </c>
      <c r="AS103" s="279">
        <f t="shared" si="200"/>
        <v>0.72285714285714309</v>
      </c>
      <c r="AT103" s="279">
        <f t="shared" si="200"/>
        <v>0.69953917050691239</v>
      </c>
      <c r="AU103" s="279">
        <f t="shared" si="200"/>
        <v>0.69394285714285719</v>
      </c>
      <c r="AV103" s="279">
        <f t="shared" si="200"/>
        <v>0.50366820276497692</v>
      </c>
      <c r="AW103" s="279">
        <f t="shared" si="200"/>
        <v>0.46262857142857144</v>
      </c>
      <c r="AX103" s="293">
        <f t="shared" ref="AX103:AX115" si="201">SUM(AL103:AW103)</f>
        <v>6.822372350230415</v>
      </c>
      <c r="AY103" s="279">
        <f t="shared" ref="AY103:BJ103" si="202">AY31*16*4/128/31</f>
        <v>0.36432000000000003</v>
      </c>
      <c r="AZ103" s="279">
        <f t="shared" si="202"/>
        <v>0.38733483870967739</v>
      </c>
      <c r="BA103" s="279">
        <f t="shared" si="202"/>
        <v>0.54648000000000008</v>
      </c>
      <c r="BB103" s="279">
        <f t="shared" si="202"/>
        <v>0.6463741935483871</v>
      </c>
      <c r="BC103" s="279">
        <f t="shared" si="202"/>
        <v>0.72864000000000007</v>
      </c>
      <c r="BD103" s="279">
        <f t="shared" si="202"/>
        <v>0.6463741935483871</v>
      </c>
      <c r="BE103" s="279">
        <f t="shared" si="202"/>
        <v>0.60720000000000007</v>
      </c>
      <c r="BF103" s="279">
        <f t="shared" si="202"/>
        <v>0.75900000000000023</v>
      </c>
      <c r="BG103" s="279">
        <f t="shared" si="202"/>
        <v>0.73451612903225805</v>
      </c>
      <c r="BH103" s="279">
        <f t="shared" si="202"/>
        <v>0.72864000000000007</v>
      </c>
      <c r="BI103" s="279">
        <f t="shared" si="202"/>
        <v>0.5288516129032258</v>
      </c>
      <c r="BJ103" s="279">
        <f t="shared" si="202"/>
        <v>0.48576000000000008</v>
      </c>
      <c r="BK103" s="293">
        <f t="shared" ref="BK103:BK115" si="203">SUM(AY103:BJ103)</f>
        <v>7.1634909677419358</v>
      </c>
      <c r="BL103" s="279">
        <f t="shared" ref="BL103:BW103" si="204">BL31*16*4/128/31</f>
        <v>0.3825360000000001</v>
      </c>
      <c r="BM103" s="279">
        <f t="shared" si="204"/>
        <v>0.40670158064516132</v>
      </c>
      <c r="BN103" s="279">
        <f t="shared" si="204"/>
        <v>0.57380400000000009</v>
      </c>
      <c r="BO103" s="279">
        <f t="shared" si="204"/>
        <v>0.67869290322580644</v>
      </c>
      <c r="BP103" s="279">
        <f t="shared" si="204"/>
        <v>0.7650720000000002</v>
      </c>
      <c r="BQ103" s="279">
        <f t="shared" si="204"/>
        <v>0.67869290322580644</v>
      </c>
      <c r="BR103" s="279">
        <f t="shared" si="204"/>
        <v>0.63756000000000013</v>
      </c>
      <c r="BS103" s="279">
        <f t="shared" si="204"/>
        <v>0.79695000000000027</v>
      </c>
      <c r="BT103" s="279">
        <f t="shared" si="204"/>
        <v>0.77124193548387099</v>
      </c>
      <c r="BU103" s="279">
        <f t="shared" si="204"/>
        <v>0.7650720000000002</v>
      </c>
      <c r="BV103" s="279">
        <f t="shared" si="204"/>
        <v>0.55529419354838716</v>
      </c>
      <c r="BW103" s="279">
        <f t="shared" si="204"/>
        <v>0.51004800000000006</v>
      </c>
      <c r="BX103" s="293">
        <f t="shared" ref="BX103:BX115" si="205">SUM(BL103:BW103)</f>
        <v>7.5216655161290324</v>
      </c>
    </row>
    <row r="104" spans="7:76" ht="15.75" customHeight="1">
      <c r="G104" s="106"/>
      <c r="H104" s="106"/>
      <c r="I104" s="92"/>
      <c r="J104" s="92" t="str">
        <f t="shared" si="196"/>
        <v>Core 2 - Hoppy Pale</v>
      </c>
      <c r="L104" s="279">
        <f t="shared" ref="L104:W104" si="206">L32*16*4/128/31</f>
        <v>0.41142857142857137</v>
      </c>
      <c r="M104" s="279">
        <f t="shared" si="206"/>
        <v>0.43741935483870964</v>
      </c>
      <c r="N104" s="279">
        <f t="shared" si="206"/>
        <v>0.6171428571428571</v>
      </c>
      <c r="O104" s="279">
        <f t="shared" si="206"/>
        <v>0.72995391705069124</v>
      </c>
      <c r="P104" s="279">
        <f t="shared" si="206"/>
        <v>0.82285714285714273</v>
      </c>
      <c r="Q104" s="279">
        <f t="shared" si="206"/>
        <v>0.72995391705069124</v>
      </c>
      <c r="R104" s="279">
        <f t="shared" si="206"/>
        <v>0.68571428571428572</v>
      </c>
      <c r="S104" s="279">
        <f t="shared" si="206"/>
        <v>0.85714285714285721</v>
      </c>
      <c r="T104" s="279">
        <f t="shared" si="206"/>
        <v>0.82949308755760365</v>
      </c>
      <c r="U104" s="279">
        <f t="shared" si="206"/>
        <v>0.82285714285714273</v>
      </c>
      <c r="V104" s="279">
        <f t="shared" si="206"/>
        <v>0.59723502304147458</v>
      </c>
      <c r="W104" s="279">
        <f t="shared" si="206"/>
        <v>0.5485714285714286</v>
      </c>
      <c r="X104" s="293">
        <f t="shared" si="132"/>
        <v>8.0897695852534568</v>
      </c>
      <c r="Y104" s="279">
        <f t="shared" ref="Y104:AJ104" si="207">Y32*16*4/128/31</f>
        <v>0.47314285714285703</v>
      </c>
      <c r="Z104" s="279">
        <f t="shared" si="207"/>
        <v>0.50303225806451601</v>
      </c>
      <c r="AA104" s="279">
        <f t="shared" si="207"/>
        <v>0.70971428571428563</v>
      </c>
      <c r="AB104" s="279">
        <f t="shared" si="207"/>
        <v>0.83944700460829491</v>
      </c>
      <c r="AC104" s="279">
        <f t="shared" si="207"/>
        <v>0.94628571428571406</v>
      </c>
      <c r="AD104" s="279">
        <f t="shared" si="207"/>
        <v>0.83944700460829491</v>
      </c>
      <c r="AE104" s="279">
        <f t="shared" si="207"/>
        <v>0.78857142857142848</v>
      </c>
      <c r="AF104" s="279">
        <f t="shared" si="207"/>
        <v>0.98571428571428565</v>
      </c>
      <c r="AG104" s="279">
        <f t="shared" si="207"/>
        <v>0.95391705069124411</v>
      </c>
      <c r="AH104" s="279">
        <f t="shared" si="207"/>
        <v>0.94628571428571406</v>
      </c>
      <c r="AI104" s="279">
        <f t="shared" si="207"/>
        <v>0.68682027649769573</v>
      </c>
      <c r="AJ104" s="279">
        <f t="shared" si="207"/>
        <v>0.63085714285714278</v>
      </c>
      <c r="AK104" s="293">
        <f t="shared" si="199"/>
        <v>9.3032350230414735</v>
      </c>
      <c r="AL104" s="279">
        <f t="shared" ref="AL104:AW104" si="208">AL32*16*4/128/31</f>
        <v>0.52045714285714284</v>
      </c>
      <c r="AM104" s="279">
        <f t="shared" si="208"/>
        <v>0.55333548387096765</v>
      </c>
      <c r="AN104" s="279">
        <f t="shared" si="208"/>
        <v>0.78068571428571432</v>
      </c>
      <c r="AO104" s="279">
        <f t="shared" si="208"/>
        <v>0.92339170506912449</v>
      </c>
      <c r="AP104" s="279">
        <f t="shared" si="208"/>
        <v>1.0409142857142857</v>
      </c>
      <c r="AQ104" s="279">
        <f t="shared" si="208"/>
        <v>0.92339170506912449</v>
      </c>
      <c r="AR104" s="279">
        <f t="shared" si="208"/>
        <v>0.86742857142857133</v>
      </c>
      <c r="AS104" s="279">
        <f t="shared" si="208"/>
        <v>1.0842857142857143</v>
      </c>
      <c r="AT104" s="279">
        <f t="shared" si="208"/>
        <v>1.0493087557603686</v>
      </c>
      <c r="AU104" s="279">
        <f t="shared" si="208"/>
        <v>1.0409142857142857</v>
      </c>
      <c r="AV104" s="279">
        <f t="shared" si="208"/>
        <v>0.75550230414746544</v>
      </c>
      <c r="AW104" s="279">
        <f t="shared" si="208"/>
        <v>0.69394285714285719</v>
      </c>
      <c r="AX104" s="293">
        <f t="shared" si="201"/>
        <v>10.233558525345623</v>
      </c>
      <c r="AY104" s="279">
        <f t="shared" ref="AY104:BJ104" si="209">AY32*16*4/128/31</f>
        <v>0.54647999999999997</v>
      </c>
      <c r="AZ104" s="279">
        <f t="shared" si="209"/>
        <v>0.58100225806451611</v>
      </c>
      <c r="BA104" s="279">
        <f t="shared" si="209"/>
        <v>0.81972000000000012</v>
      </c>
      <c r="BB104" s="279">
        <f t="shared" si="209"/>
        <v>0.96956129032258076</v>
      </c>
      <c r="BC104" s="279">
        <f t="shared" si="209"/>
        <v>1.0929599999999999</v>
      </c>
      <c r="BD104" s="279">
        <f t="shared" si="209"/>
        <v>0.96956129032258076</v>
      </c>
      <c r="BE104" s="279">
        <f t="shared" si="209"/>
        <v>0.91079999999999983</v>
      </c>
      <c r="BF104" s="279">
        <f t="shared" si="209"/>
        <v>1.1385000000000001</v>
      </c>
      <c r="BG104" s="279">
        <f t="shared" si="209"/>
        <v>1.1017741935483871</v>
      </c>
      <c r="BH104" s="279">
        <f t="shared" si="209"/>
        <v>1.0929599999999999</v>
      </c>
      <c r="BI104" s="279">
        <f t="shared" si="209"/>
        <v>0.79327741935483875</v>
      </c>
      <c r="BJ104" s="279">
        <f t="shared" si="209"/>
        <v>0.72864000000000007</v>
      </c>
      <c r="BK104" s="293">
        <f t="shared" si="203"/>
        <v>10.745236451612904</v>
      </c>
      <c r="BL104" s="279">
        <f t="shared" ref="BL104:BW104" si="210">BL32*16*4/128/31</f>
        <v>0.57380399999999998</v>
      </c>
      <c r="BM104" s="279">
        <f t="shared" si="210"/>
        <v>0.61005237096774201</v>
      </c>
      <c r="BN104" s="279">
        <f t="shared" si="210"/>
        <v>0.86070600000000019</v>
      </c>
      <c r="BO104" s="279">
        <f t="shared" si="210"/>
        <v>1.0180393548387099</v>
      </c>
      <c r="BP104" s="279">
        <f t="shared" si="210"/>
        <v>1.147608</v>
      </c>
      <c r="BQ104" s="279">
        <f t="shared" si="210"/>
        <v>1.0180393548387099</v>
      </c>
      <c r="BR104" s="279">
        <f t="shared" si="210"/>
        <v>0.95633999999999997</v>
      </c>
      <c r="BS104" s="279">
        <f t="shared" si="210"/>
        <v>1.1954250000000002</v>
      </c>
      <c r="BT104" s="279">
        <f t="shared" si="210"/>
        <v>1.1568629032258066</v>
      </c>
      <c r="BU104" s="279">
        <f t="shared" si="210"/>
        <v>1.147608</v>
      </c>
      <c r="BV104" s="279">
        <f t="shared" si="210"/>
        <v>0.83294129032258069</v>
      </c>
      <c r="BW104" s="279">
        <f t="shared" si="210"/>
        <v>0.7650720000000002</v>
      </c>
      <c r="BX104" s="293">
        <f t="shared" si="205"/>
        <v>11.282498274193548</v>
      </c>
    </row>
    <row r="105" spans="7:76" ht="15.75" customHeight="1">
      <c r="G105" s="106"/>
      <c r="H105" s="106"/>
      <c r="I105" s="92"/>
      <c r="J105" s="92" t="str">
        <f t="shared" si="196"/>
        <v>Core 3 - Red Ale</v>
      </c>
      <c r="L105" s="279">
        <f t="shared" ref="L105:W105" si="211">L33*16*4/128/31</f>
        <v>0.13714285714285715</v>
      </c>
      <c r="M105" s="279">
        <f t="shared" si="211"/>
        <v>0.1458064516129032</v>
      </c>
      <c r="N105" s="279">
        <f t="shared" si="211"/>
        <v>0.20571428571428574</v>
      </c>
      <c r="O105" s="279">
        <f t="shared" si="211"/>
        <v>0.24331797235023045</v>
      </c>
      <c r="P105" s="279">
        <f t="shared" si="211"/>
        <v>0.2742857142857143</v>
      </c>
      <c r="Q105" s="279">
        <f t="shared" si="211"/>
        <v>0.24331797235023045</v>
      </c>
      <c r="R105" s="279">
        <f t="shared" si="211"/>
        <v>0.22857142857142859</v>
      </c>
      <c r="S105" s="279">
        <f t="shared" si="211"/>
        <v>0.28571428571428581</v>
      </c>
      <c r="T105" s="279">
        <f t="shared" si="211"/>
        <v>0.27649769585253453</v>
      </c>
      <c r="U105" s="279">
        <f t="shared" si="211"/>
        <v>0.2742857142857143</v>
      </c>
      <c r="V105" s="279">
        <f t="shared" si="211"/>
        <v>0.19907834101382491</v>
      </c>
      <c r="W105" s="279">
        <f t="shared" si="211"/>
        <v>0.18285714285714288</v>
      </c>
      <c r="X105" s="293">
        <f t="shared" si="132"/>
        <v>2.6965898617511521</v>
      </c>
      <c r="Y105" s="279">
        <f t="shared" ref="Y105:AJ105" si="212">Y33*16*4/128/31</f>
        <v>0.1577142857142857</v>
      </c>
      <c r="Z105" s="279">
        <f t="shared" si="212"/>
        <v>0.16767741935483868</v>
      </c>
      <c r="AA105" s="279">
        <f t="shared" si="212"/>
        <v>0.2365714285714286</v>
      </c>
      <c r="AB105" s="279">
        <f t="shared" si="212"/>
        <v>0.27981566820276499</v>
      </c>
      <c r="AC105" s="279">
        <f t="shared" si="212"/>
        <v>0.31542857142857139</v>
      </c>
      <c r="AD105" s="279">
        <f t="shared" si="212"/>
        <v>0.27981566820276499</v>
      </c>
      <c r="AE105" s="279">
        <f t="shared" si="212"/>
        <v>0.2628571428571429</v>
      </c>
      <c r="AF105" s="279">
        <f t="shared" si="212"/>
        <v>0.32857142857142863</v>
      </c>
      <c r="AG105" s="279">
        <f t="shared" si="212"/>
        <v>0.3179723502304147</v>
      </c>
      <c r="AH105" s="279">
        <f t="shared" si="212"/>
        <v>0.31542857142857139</v>
      </c>
      <c r="AI105" s="279">
        <f t="shared" si="212"/>
        <v>0.22894009216589861</v>
      </c>
      <c r="AJ105" s="279">
        <f t="shared" si="212"/>
        <v>0.21028571428571427</v>
      </c>
      <c r="AK105" s="293">
        <f t="shared" si="199"/>
        <v>3.101078341013825</v>
      </c>
      <c r="AL105" s="279">
        <f t="shared" ref="AL105:AW105" si="213">AL33*16*4/128/31</f>
        <v>0.1734857142857143</v>
      </c>
      <c r="AM105" s="279">
        <f t="shared" si="213"/>
        <v>0.18444516129032257</v>
      </c>
      <c r="AN105" s="279">
        <f t="shared" si="213"/>
        <v>0.26022857142857148</v>
      </c>
      <c r="AO105" s="279">
        <f t="shared" si="213"/>
        <v>0.30779723502304152</v>
      </c>
      <c r="AP105" s="279">
        <f t="shared" si="213"/>
        <v>0.3469714285714286</v>
      </c>
      <c r="AQ105" s="279">
        <f t="shared" si="213"/>
        <v>0.30779723502304152</v>
      </c>
      <c r="AR105" s="279">
        <f t="shared" si="213"/>
        <v>0.2891428571428572</v>
      </c>
      <c r="AS105" s="279">
        <f t="shared" si="213"/>
        <v>0.36142857142857154</v>
      </c>
      <c r="AT105" s="279">
        <f t="shared" si="213"/>
        <v>0.34976958525345619</v>
      </c>
      <c r="AU105" s="279">
        <f t="shared" si="213"/>
        <v>0.3469714285714286</v>
      </c>
      <c r="AV105" s="279">
        <f t="shared" si="213"/>
        <v>0.25183410138248846</v>
      </c>
      <c r="AW105" s="279">
        <f t="shared" si="213"/>
        <v>0.23131428571428572</v>
      </c>
      <c r="AX105" s="293">
        <f t="shared" si="201"/>
        <v>3.4111861751152075</v>
      </c>
      <c r="AY105" s="279">
        <f t="shared" ref="AY105:BJ105" si="214">AY33*16*4/128/31</f>
        <v>0.18216000000000002</v>
      </c>
      <c r="AZ105" s="279">
        <f t="shared" si="214"/>
        <v>0.19366741935483869</v>
      </c>
      <c r="BA105" s="279">
        <f t="shared" si="214"/>
        <v>0.27324000000000004</v>
      </c>
      <c r="BB105" s="279">
        <f t="shared" si="214"/>
        <v>0.32318709677419355</v>
      </c>
      <c r="BC105" s="279">
        <f t="shared" si="214"/>
        <v>0.36432000000000003</v>
      </c>
      <c r="BD105" s="279">
        <f t="shared" si="214"/>
        <v>0.32318709677419355</v>
      </c>
      <c r="BE105" s="279">
        <f t="shared" si="214"/>
        <v>0.30360000000000004</v>
      </c>
      <c r="BF105" s="279">
        <f t="shared" si="214"/>
        <v>0.37950000000000012</v>
      </c>
      <c r="BG105" s="279">
        <f t="shared" si="214"/>
        <v>0.36725806451612902</v>
      </c>
      <c r="BH105" s="279">
        <f t="shared" si="214"/>
        <v>0.36432000000000003</v>
      </c>
      <c r="BI105" s="279">
        <f t="shared" si="214"/>
        <v>0.2644258064516129</v>
      </c>
      <c r="BJ105" s="279">
        <f t="shared" si="214"/>
        <v>0.24288000000000004</v>
      </c>
      <c r="BK105" s="293">
        <f t="shared" si="203"/>
        <v>3.5817454838709679</v>
      </c>
      <c r="BL105" s="279">
        <f t="shared" ref="BL105:BW105" si="215">BL33*16*4/128/31</f>
        <v>0.19126800000000005</v>
      </c>
      <c r="BM105" s="279">
        <f t="shared" si="215"/>
        <v>0.20335079032258066</v>
      </c>
      <c r="BN105" s="279">
        <f t="shared" si="215"/>
        <v>0.28690200000000005</v>
      </c>
      <c r="BO105" s="279">
        <f t="shared" si="215"/>
        <v>0.33934645161290322</v>
      </c>
      <c r="BP105" s="279">
        <f t="shared" si="215"/>
        <v>0.3825360000000001</v>
      </c>
      <c r="BQ105" s="279">
        <f t="shared" si="215"/>
        <v>0.33934645161290322</v>
      </c>
      <c r="BR105" s="279">
        <f t="shared" si="215"/>
        <v>0.31878000000000006</v>
      </c>
      <c r="BS105" s="279">
        <f t="shared" si="215"/>
        <v>0.39847500000000013</v>
      </c>
      <c r="BT105" s="279">
        <f t="shared" si="215"/>
        <v>0.38562096774193549</v>
      </c>
      <c r="BU105" s="279">
        <f t="shared" si="215"/>
        <v>0.3825360000000001</v>
      </c>
      <c r="BV105" s="279">
        <f t="shared" si="215"/>
        <v>0.27764709677419358</v>
      </c>
      <c r="BW105" s="279">
        <f t="shared" si="215"/>
        <v>0.25502400000000003</v>
      </c>
      <c r="BX105" s="293">
        <f t="shared" si="205"/>
        <v>3.7608327580645162</v>
      </c>
    </row>
    <row r="106" spans="7:76" ht="15.75" customHeight="1">
      <c r="G106" s="106"/>
      <c r="H106" s="106"/>
      <c r="I106" s="92"/>
      <c r="J106" s="92" t="str">
        <f t="shared" si="196"/>
        <v>Core 4 - Dark (Porter?)</v>
      </c>
      <c r="L106" s="279">
        <f t="shared" ref="L106:W106" si="216">L34*16*4/128/31</f>
        <v>0.13714285714285715</v>
      </c>
      <c r="M106" s="279">
        <f t="shared" si="216"/>
        <v>0.1458064516129032</v>
      </c>
      <c r="N106" s="279">
        <f t="shared" si="216"/>
        <v>0.20571428571428574</v>
      </c>
      <c r="O106" s="279">
        <f t="shared" si="216"/>
        <v>0.24331797235023045</v>
      </c>
      <c r="P106" s="279">
        <f t="shared" si="216"/>
        <v>0.2742857142857143</v>
      </c>
      <c r="Q106" s="279">
        <f t="shared" si="216"/>
        <v>0.24331797235023045</v>
      </c>
      <c r="R106" s="279">
        <f t="shared" si="216"/>
        <v>0.22857142857142859</v>
      </c>
      <c r="S106" s="279">
        <f t="shared" si="216"/>
        <v>0.28571428571428581</v>
      </c>
      <c r="T106" s="279">
        <f t="shared" si="216"/>
        <v>0.27649769585253453</v>
      </c>
      <c r="U106" s="279">
        <f t="shared" si="216"/>
        <v>0.2742857142857143</v>
      </c>
      <c r="V106" s="279">
        <f t="shared" si="216"/>
        <v>0.19907834101382491</v>
      </c>
      <c r="W106" s="279">
        <f t="shared" si="216"/>
        <v>0.18285714285714288</v>
      </c>
      <c r="X106" s="293">
        <f t="shared" si="132"/>
        <v>2.6965898617511521</v>
      </c>
      <c r="Y106" s="279">
        <f t="shared" ref="Y106:AJ106" si="217">Y34*16*4/128/31</f>
        <v>0.1577142857142857</v>
      </c>
      <c r="Z106" s="279">
        <f t="shared" si="217"/>
        <v>0.16767741935483868</v>
      </c>
      <c r="AA106" s="279">
        <f t="shared" si="217"/>
        <v>0.2365714285714286</v>
      </c>
      <c r="AB106" s="279">
        <f t="shared" si="217"/>
        <v>0.27981566820276499</v>
      </c>
      <c r="AC106" s="279">
        <f t="shared" si="217"/>
        <v>0.31542857142857139</v>
      </c>
      <c r="AD106" s="279">
        <f t="shared" si="217"/>
        <v>0.27981566820276499</v>
      </c>
      <c r="AE106" s="279">
        <f t="shared" si="217"/>
        <v>0.2628571428571429</v>
      </c>
      <c r="AF106" s="279">
        <f t="shared" si="217"/>
        <v>0.32857142857142863</v>
      </c>
      <c r="AG106" s="279">
        <f t="shared" si="217"/>
        <v>0.3179723502304147</v>
      </c>
      <c r="AH106" s="279">
        <f t="shared" si="217"/>
        <v>0.31542857142857139</v>
      </c>
      <c r="AI106" s="279">
        <f t="shared" si="217"/>
        <v>0.22894009216589861</v>
      </c>
      <c r="AJ106" s="279">
        <f t="shared" si="217"/>
        <v>0.21028571428571427</v>
      </c>
      <c r="AK106" s="293">
        <f t="shared" si="199"/>
        <v>3.101078341013825</v>
      </c>
      <c r="AL106" s="279">
        <f t="shared" ref="AL106:AW106" si="218">AL34*16*4/128/31</f>
        <v>0.1734857142857143</v>
      </c>
      <c r="AM106" s="279">
        <f t="shared" si="218"/>
        <v>0.18444516129032257</v>
      </c>
      <c r="AN106" s="279">
        <f t="shared" si="218"/>
        <v>0.26022857142857148</v>
      </c>
      <c r="AO106" s="279">
        <f t="shared" si="218"/>
        <v>0.30779723502304152</v>
      </c>
      <c r="AP106" s="279">
        <f t="shared" si="218"/>
        <v>0.3469714285714286</v>
      </c>
      <c r="AQ106" s="279">
        <f t="shared" si="218"/>
        <v>0.30779723502304152</v>
      </c>
      <c r="AR106" s="279">
        <f t="shared" si="218"/>
        <v>0.2891428571428572</v>
      </c>
      <c r="AS106" s="279">
        <f t="shared" si="218"/>
        <v>0.36142857142857154</v>
      </c>
      <c r="AT106" s="279">
        <f t="shared" si="218"/>
        <v>0.34976958525345619</v>
      </c>
      <c r="AU106" s="279">
        <f t="shared" si="218"/>
        <v>0.3469714285714286</v>
      </c>
      <c r="AV106" s="279">
        <f t="shared" si="218"/>
        <v>0.25183410138248846</v>
      </c>
      <c r="AW106" s="279">
        <f t="shared" si="218"/>
        <v>0.23131428571428572</v>
      </c>
      <c r="AX106" s="293">
        <f t="shared" si="201"/>
        <v>3.4111861751152075</v>
      </c>
      <c r="AY106" s="279">
        <f t="shared" ref="AY106:BJ106" si="219">AY34*16*4/128/31</f>
        <v>0.18216000000000002</v>
      </c>
      <c r="AZ106" s="279">
        <f t="shared" si="219"/>
        <v>0.19366741935483869</v>
      </c>
      <c r="BA106" s="279">
        <f t="shared" si="219"/>
        <v>0.27324000000000004</v>
      </c>
      <c r="BB106" s="279">
        <f t="shared" si="219"/>
        <v>0.32318709677419355</v>
      </c>
      <c r="BC106" s="279">
        <f t="shared" si="219"/>
        <v>0.36432000000000003</v>
      </c>
      <c r="BD106" s="279">
        <f t="shared" si="219"/>
        <v>0.32318709677419355</v>
      </c>
      <c r="BE106" s="279">
        <f t="shared" si="219"/>
        <v>0.30360000000000004</v>
      </c>
      <c r="BF106" s="279">
        <f t="shared" si="219"/>
        <v>0.37950000000000012</v>
      </c>
      <c r="BG106" s="279">
        <f t="shared" si="219"/>
        <v>0.36725806451612902</v>
      </c>
      <c r="BH106" s="279">
        <f t="shared" si="219"/>
        <v>0.36432000000000003</v>
      </c>
      <c r="BI106" s="279">
        <f t="shared" si="219"/>
        <v>0.2644258064516129</v>
      </c>
      <c r="BJ106" s="279">
        <f t="shared" si="219"/>
        <v>0.24288000000000004</v>
      </c>
      <c r="BK106" s="293">
        <f t="shared" si="203"/>
        <v>3.5817454838709679</v>
      </c>
      <c r="BL106" s="279">
        <f t="shared" ref="BL106:BW106" si="220">BL34*16*4/128/31</f>
        <v>0.19126800000000005</v>
      </c>
      <c r="BM106" s="279">
        <f t="shared" si="220"/>
        <v>0.20335079032258066</v>
      </c>
      <c r="BN106" s="279">
        <f t="shared" si="220"/>
        <v>0.28690200000000005</v>
      </c>
      <c r="BO106" s="279">
        <f t="shared" si="220"/>
        <v>0.33934645161290322</v>
      </c>
      <c r="BP106" s="279">
        <f t="shared" si="220"/>
        <v>0.3825360000000001</v>
      </c>
      <c r="BQ106" s="279">
        <f t="shared" si="220"/>
        <v>0.33934645161290322</v>
      </c>
      <c r="BR106" s="279">
        <f t="shared" si="220"/>
        <v>0.31878000000000006</v>
      </c>
      <c r="BS106" s="279">
        <f t="shared" si="220"/>
        <v>0.39847500000000013</v>
      </c>
      <c r="BT106" s="279">
        <f t="shared" si="220"/>
        <v>0.38562096774193549</v>
      </c>
      <c r="BU106" s="279">
        <f t="shared" si="220"/>
        <v>0.3825360000000001</v>
      </c>
      <c r="BV106" s="279">
        <f t="shared" si="220"/>
        <v>0.27764709677419358</v>
      </c>
      <c r="BW106" s="279">
        <f t="shared" si="220"/>
        <v>0.25502400000000003</v>
      </c>
      <c r="BX106" s="293">
        <f t="shared" si="205"/>
        <v>3.7608327580645162</v>
      </c>
    </row>
    <row r="107" spans="7:76" ht="15.75" customHeight="1">
      <c r="G107" s="106"/>
      <c r="H107" s="106"/>
      <c r="I107" s="92"/>
      <c r="J107" s="92" t="str">
        <f t="shared" si="196"/>
        <v>Rotating Sour</v>
      </c>
      <c r="L107" s="279">
        <f t="shared" ref="L107:W107" si="221">L35*16*4/128/31</f>
        <v>6.8571428571428575E-2</v>
      </c>
      <c r="M107" s="279">
        <f t="shared" si="221"/>
        <v>7.2903225806451602E-2</v>
      </c>
      <c r="N107" s="279">
        <f t="shared" si="221"/>
        <v>0.10285714285714287</v>
      </c>
      <c r="O107" s="279">
        <f t="shared" si="221"/>
        <v>0.12165898617511522</v>
      </c>
      <c r="P107" s="279">
        <f t="shared" si="221"/>
        <v>0.13714285714285715</v>
      </c>
      <c r="Q107" s="279">
        <f t="shared" si="221"/>
        <v>0.12165898617511522</v>
      </c>
      <c r="R107" s="279">
        <f t="shared" si="221"/>
        <v>0.1142857142857143</v>
      </c>
      <c r="S107" s="279">
        <f t="shared" si="221"/>
        <v>0.1428571428571429</v>
      </c>
      <c r="T107" s="279">
        <f t="shared" si="221"/>
        <v>0.13824884792626727</v>
      </c>
      <c r="U107" s="279">
        <f t="shared" si="221"/>
        <v>0.13714285714285715</v>
      </c>
      <c r="V107" s="279">
        <f t="shared" si="221"/>
        <v>9.9539170506912453E-2</v>
      </c>
      <c r="W107" s="279">
        <f t="shared" si="221"/>
        <v>9.1428571428571442E-2</v>
      </c>
      <c r="X107" s="293">
        <f t="shared" si="132"/>
        <v>1.3482949308755761</v>
      </c>
      <c r="Y107" s="279">
        <f t="shared" ref="Y107:AJ107" si="222">Y35*16*4/128/31</f>
        <v>7.8857142857142848E-2</v>
      </c>
      <c r="Z107" s="279">
        <f t="shared" si="222"/>
        <v>8.383870967741934E-2</v>
      </c>
      <c r="AA107" s="279">
        <f t="shared" si="222"/>
        <v>0.1182857142857143</v>
      </c>
      <c r="AB107" s="279">
        <f t="shared" si="222"/>
        <v>0.13990783410138249</v>
      </c>
      <c r="AC107" s="279">
        <f t="shared" si="222"/>
        <v>0.1577142857142857</v>
      </c>
      <c r="AD107" s="279">
        <f t="shared" si="222"/>
        <v>0.13990783410138249</v>
      </c>
      <c r="AE107" s="279">
        <f t="shared" si="222"/>
        <v>0.13142857142857145</v>
      </c>
      <c r="AF107" s="279">
        <f t="shared" si="222"/>
        <v>0.16428571428571431</v>
      </c>
      <c r="AG107" s="279">
        <f t="shared" si="222"/>
        <v>0.15898617511520735</v>
      </c>
      <c r="AH107" s="279">
        <f t="shared" si="222"/>
        <v>0.1577142857142857</v>
      </c>
      <c r="AI107" s="279">
        <f t="shared" si="222"/>
        <v>0.11447004608294931</v>
      </c>
      <c r="AJ107" s="279">
        <f t="shared" si="222"/>
        <v>0.10514285714285714</v>
      </c>
      <c r="AK107" s="293">
        <f t="shared" si="199"/>
        <v>1.5505391705069125</v>
      </c>
      <c r="AL107" s="279">
        <f t="shared" ref="AL107:AW107" si="223">AL35*16*4/128/31</f>
        <v>8.6742857142857149E-2</v>
      </c>
      <c r="AM107" s="279">
        <f t="shared" si="223"/>
        <v>9.2222580645161284E-2</v>
      </c>
      <c r="AN107" s="279">
        <f t="shared" si="223"/>
        <v>0.13011428571428574</v>
      </c>
      <c r="AO107" s="279">
        <f t="shared" si="223"/>
        <v>0.15389861751152076</v>
      </c>
      <c r="AP107" s="279">
        <f t="shared" si="223"/>
        <v>0.1734857142857143</v>
      </c>
      <c r="AQ107" s="279">
        <f t="shared" si="223"/>
        <v>0.15389861751152076</v>
      </c>
      <c r="AR107" s="279">
        <f t="shared" si="223"/>
        <v>0.1445714285714286</v>
      </c>
      <c r="AS107" s="279">
        <f t="shared" si="223"/>
        <v>0.18071428571428577</v>
      </c>
      <c r="AT107" s="279">
        <f t="shared" si="223"/>
        <v>0.1748847926267281</v>
      </c>
      <c r="AU107" s="279">
        <f t="shared" si="223"/>
        <v>0.1734857142857143</v>
      </c>
      <c r="AV107" s="279">
        <f t="shared" si="223"/>
        <v>0.12591705069124423</v>
      </c>
      <c r="AW107" s="279">
        <f t="shared" si="223"/>
        <v>0.11565714285714286</v>
      </c>
      <c r="AX107" s="293">
        <f t="shared" si="201"/>
        <v>1.7055930875576037</v>
      </c>
      <c r="AY107" s="279">
        <f t="shared" ref="AY107:BJ107" si="224">AY35*16*4/128/31</f>
        <v>9.1080000000000008E-2</v>
      </c>
      <c r="AZ107" s="279">
        <f t="shared" si="224"/>
        <v>9.6833709677419347E-2</v>
      </c>
      <c r="BA107" s="279">
        <f t="shared" si="224"/>
        <v>0.13662000000000002</v>
      </c>
      <c r="BB107" s="279">
        <f t="shared" si="224"/>
        <v>0.16159354838709677</v>
      </c>
      <c r="BC107" s="279">
        <f t="shared" si="224"/>
        <v>0.18216000000000002</v>
      </c>
      <c r="BD107" s="279">
        <f t="shared" si="224"/>
        <v>0.16159354838709677</v>
      </c>
      <c r="BE107" s="279">
        <f t="shared" si="224"/>
        <v>0.15180000000000002</v>
      </c>
      <c r="BF107" s="279">
        <f t="shared" si="224"/>
        <v>0.18975000000000006</v>
      </c>
      <c r="BG107" s="279">
        <f t="shared" si="224"/>
        <v>0.18362903225806451</v>
      </c>
      <c r="BH107" s="279">
        <f t="shared" si="224"/>
        <v>0.18216000000000002</v>
      </c>
      <c r="BI107" s="279">
        <f t="shared" si="224"/>
        <v>0.13221290322580645</v>
      </c>
      <c r="BJ107" s="279">
        <f t="shared" si="224"/>
        <v>0.12144000000000002</v>
      </c>
      <c r="BK107" s="293">
        <f t="shared" si="203"/>
        <v>1.790872741935484</v>
      </c>
      <c r="BL107" s="279">
        <f t="shared" ref="BL107:BW107" si="225">BL35*16*4/128/31</f>
        <v>9.5634000000000025E-2</v>
      </c>
      <c r="BM107" s="279">
        <f t="shared" si="225"/>
        <v>0.10167539516129033</v>
      </c>
      <c r="BN107" s="279">
        <f t="shared" si="225"/>
        <v>0.14345100000000002</v>
      </c>
      <c r="BO107" s="279">
        <f t="shared" si="225"/>
        <v>0.16967322580645161</v>
      </c>
      <c r="BP107" s="279">
        <f t="shared" si="225"/>
        <v>0.19126800000000005</v>
      </c>
      <c r="BQ107" s="279">
        <f t="shared" si="225"/>
        <v>0.16967322580645161</v>
      </c>
      <c r="BR107" s="279">
        <f t="shared" si="225"/>
        <v>0.15939000000000003</v>
      </c>
      <c r="BS107" s="279">
        <f t="shared" si="225"/>
        <v>0.19923750000000007</v>
      </c>
      <c r="BT107" s="279">
        <f t="shared" si="225"/>
        <v>0.19281048387096775</v>
      </c>
      <c r="BU107" s="279">
        <f t="shared" si="225"/>
        <v>0.19126800000000005</v>
      </c>
      <c r="BV107" s="279">
        <f t="shared" si="225"/>
        <v>0.13882354838709679</v>
      </c>
      <c r="BW107" s="279">
        <f t="shared" si="225"/>
        <v>0.12751200000000001</v>
      </c>
      <c r="BX107" s="293">
        <f t="shared" si="205"/>
        <v>1.8804163790322581</v>
      </c>
    </row>
    <row r="108" spans="7:76" ht="15.75" customHeight="1">
      <c r="G108" s="106"/>
      <c r="H108" s="106"/>
      <c r="I108" s="92"/>
      <c r="J108" s="92" t="str">
        <f t="shared" si="196"/>
        <v>Seasonal #1</v>
      </c>
      <c r="L108" s="279">
        <f t="shared" ref="L108:W108" si="226">L36*16*4/128/31</f>
        <v>6.8571428571428575E-2</v>
      </c>
      <c r="M108" s="279">
        <f t="shared" si="226"/>
        <v>7.2903225806451602E-2</v>
      </c>
      <c r="N108" s="279">
        <f t="shared" si="226"/>
        <v>0.10285714285714287</v>
      </c>
      <c r="O108" s="279">
        <f t="shared" si="226"/>
        <v>0.12165898617511522</v>
      </c>
      <c r="P108" s="279">
        <f t="shared" si="226"/>
        <v>0.13714285714285715</v>
      </c>
      <c r="Q108" s="279">
        <f t="shared" si="226"/>
        <v>0.12165898617511522</v>
      </c>
      <c r="R108" s="279">
        <f t="shared" si="226"/>
        <v>0.1142857142857143</v>
      </c>
      <c r="S108" s="279">
        <f t="shared" si="226"/>
        <v>0.1428571428571429</v>
      </c>
      <c r="T108" s="279">
        <f t="shared" si="226"/>
        <v>0.13824884792626727</v>
      </c>
      <c r="U108" s="279">
        <f t="shared" si="226"/>
        <v>0.13714285714285715</v>
      </c>
      <c r="V108" s="279">
        <f t="shared" si="226"/>
        <v>9.9539170506912453E-2</v>
      </c>
      <c r="W108" s="279">
        <f t="shared" si="226"/>
        <v>9.1428571428571442E-2</v>
      </c>
      <c r="X108" s="293">
        <f t="shared" si="132"/>
        <v>1.3482949308755761</v>
      </c>
      <c r="Y108" s="279">
        <f t="shared" ref="Y108:AJ108" si="227">Y36*16*4/128/31</f>
        <v>7.8857142857142848E-2</v>
      </c>
      <c r="Z108" s="279">
        <f t="shared" si="227"/>
        <v>8.383870967741934E-2</v>
      </c>
      <c r="AA108" s="279">
        <f t="shared" si="227"/>
        <v>0.1182857142857143</v>
      </c>
      <c r="AB108" s="279">
        <f t="shared" si="227"/>
        <v>0.13990783410138249</v>
      </c>
      <c r="AC108" s="279">
        <f t="shared" si="227"/>
        <v>0.1577142857142857</v>
      </c>
      <c r="AD108" s="279">
        <f t="shared" si="227"/>
        <v>0.13990783410138249</v>
      </c>
      <c r="AE108" s="279">
        <f t="shared" si="227"/>
        <v>0.13142857142857145</v>
      </c>
      <c r="AF108" s="279">
        <f t="shared" si="227"/>
        <v>0.16428571428571431</v>
      </c>
      <c r="AG108" s="279">
        <f t="shared" si="227"/>
        <v>0.15898617511520735</v>
      </c>
      <c r="AH108" s="279">
        <f t="shared" si="227"/>
        <v>0.1577142857142857</v>
      </c>
      <c r="AI108" s="279">
        <f t="shared" si="227"/>
        <v>0.11447004608294931</v>
      </c>
      <c r="AJ108" s="279">
        <f t="shared" si="227"/>
        <v>0.10514285714285714</v>
      </c>
      <c r="AK108" s="293">
        <f t="shared" si="199"/>
        <v>1.5505391705069125</v>
      </c>
      <c r="AL108" s="279">
        <f t="shared" ref="AL108:AW108" si="228">AL36*16*4/128/31</f>
        <v>8.6742857142857149E-2</v>
      </c>
      <c r="AM108" s="279">
        <f t="shared" si="228"/>
        <v>9.2222580645161284E-2</v>
      </c>
      <c r="AN108" s="279">
        <f t="shared" si="228"/>
        <v>0.13011428571428574</v>
      </c>
      <c r="AO108" s="279">
        <f t="shared" si="228"/>
        <v>0.15389861751152076</v>
      </c>
      <c r="AP108" s="279">
        <f t="shared" si="228"/>
        <v>0.1734857142857143</v>
      </c>
      <c r="AQ108" s="279">
        <f t="shared" si="228"/>
        <v>0.15389861751152076</v>
      </c>
      <c r="AR108" s="279">
        <f t="shared" si="228"/>
        <v>0.1445714285714286</v>
      </c>
      <c r="AS108" s="279">
        <f t="shared" si="228"/>
        <v>0.18071428571428577</v>
      </c>
      <c r="AT108" s="279">
        <f t="shared" si="228"/>
        <v>0.1748847926267281</v>
      </c>
      <c r="AU108" s="279">
        <f t="shared" si="228"/>
        <v>0.1734857142857143</v>
      </c>
      <c r="AV108" s="279">
        <f t="shared" si="228"/>
        <v>0.12591705069124423</v>
      </c>
      <c r="AW108" s="279">
        <f t="shared" si="228"/>
        <v>0.11565714285714286</v>
      </c>
      <c r="AX108" s="293">
        <f t="shared" si="201"/>
        <v>1.7055930875576037</v>
      </c>
      <c r="AY108" s="279">
        <f t="shared" ref="AY108:BJ108" si="229">AY36*16*4/128/31</f>
        <v>9.1080000000000008E-2</v>
      </c>
      <c r="AZ108" s="279">
        <f t="shared" si="229"/>
        <v>9.6833709677419347E-2</v>
      </c>
      <c r="BA108" s="279">
        <f t="shared" si="229"/>
        <v>0.13662000000000002</v>
      </c>
      <c r="BB108" s="279">
        <f t="shared" si="229"/>
        <v>0.16159354838709677</v>
      </c>
      <c r="BC108" s="279">
        <f t="shared" si="229"/>
        <v>0.18216000000000002</v>
      </c>
      <c r="BD108" s="279">
        <f t="shared" si="229"/>
        <v>0.16159354838709677</v>
      </c>
      <c r="BE108" s="279">
        <f t="shared" si="229"/>
        <v>0.15180000000000002</v>
      </c>
      <c r="BF108" s="279">
        <f t="shared" si="229"/>
        <v>0.18975000000000006</v>
      </c>
      <c r="BG108" s="279">
        <f t="shared" si="229"/>
        <v>0.18362903225806451</v>
      </c>
      <c r="BH108" s="279">
        <f t="shared" si="229"/>
        <v>0.18216000000000002</v>
      </c>
      <c r="BI108" s="279">
        <f t="shared" si="229"/>
        <v>0.13221290322580645</v>
      </c>
      <c r="BJ108" s="279">
        <f t="shared" si="229"/>
        <v>0.12144000000000002</v>
      </c>
      <c r="BK108" s="293">
        <f t="shared" si="203"/>
        <v>1.790872741935484</v>
      </c>
      <c r="BL108" s="279">
        <f t="shared" ref="BL108:BW108" si="230">BL36*16*4/128/31</f>
        <v>9.5634000000000025E-2</v>
      </c>
      <c r="BM108" s="279">
        <f t="shared" si="230"/>
        <v>0.10167539516129033</v>
      </c>
      <c r="BN108" s="279">
        <f t="shared" si="230"/>
        <v>0.14345100000000002</v>
      </c>
      <c r="BO108" s="279">
        <f t="shared" si="230"/>
        <v>0.16967322580645161</v>
      </c>
      <c r="BP108" s="279">
        <f t="shared" si="230"/>
        <v>0.19126800000000005</v>
      </c>
      <c r="BQ108" s="279">
        <f t="shared" si="230"/>
        <v>0.16967322580645161</v>
      </c>
      <c r="BR108" s="279">
        <f t="shared" si="230"/>
        <v>0.15939000000000003</v>
      </c>
      <c r="BS108" s="279">
        <f t="shared" si="230"/>
        <v>0.19923750000000007</v>
      </c>
      <c r="BT108" s="279">
        <f t="shared" si="230"/>
        <v>0.19281048387096775</v>
      </c>
      <c r="BU108" s="279">
        <f t="shared" si="230"/>
        <v>0.19126800000000005</v>
      </c>
      <c r="BV108" s="279">
        <f t="shared" si="230"/>
        <v>0.13882354838709679</v>
      </c>
      <c r="BW108" s="279">
        <f t="shared" si="230"/>
        <v>0.12751200000000001</v>
      </c>
      <c r="BX108" s="293">
        <f t="shared" si="205"/>
        <v>1.8804163790322581</v>
      </c>
    </row>
    <row r="109" spans="7:76" ht="15.75" customHeight="1">
      <c r="G109" s="106"/>
      <c r="H109" s="106"/>
      <c r="I109" s="92"/>
      <c r="J109" s="92" t="str">
        <f t="shared" si="196"/>
        <v>Seasonal #2</v>
      </c>
      <c r="L109" s="279">
        <f t="shared" ref="L109:W109" si="231">L37*16*4/128/31</f>
        <v>6.8571428571428575E-2</v>
      </c>
      <c r="M109" s="279">
        <f t="shared" si="231"/>
        <v>7.2903225806451602E-2</v>
      </c>
      <c r="N109" s="279">
        <f t="shared" si="231"/>
        <v>0.10285714285714287</v>
      </c>
      <c r="O109" s="279">
        <f t="shared" si="231"/>
        <v>0.12165898617511522</v>
      </c>
      <c r="P109" s="279">
        <f t="shared" si="231"/>
        <v>0.13714285714285715</v>
      </c>
      <c r="Q109" s="279">
        <f t="shared" si="231"/>
        <v>0.12165898617511522</v>
      </c>
      <c r="R109" s="279">
        <f t="shared" si="231"/>
        <v>0.1142857142857143</v>
      </c>
      <c r="S109" s="279">
        <f t="shared" si="231"/>
        <v>0.1428571428571429</v>
      </c>
      <c r="T109" s="279">
        <f t="shared" si="231"/>
        <v>0.13824884792626727</v>
      </c>
      <c r="U109" s="279">
        <f t="shared" si="231"/>
        <v>0.13714285714285715</v>
      </c>
      <c r="V109" s="279">
        <f t="shared" si="231"/>
        <v>9.9539170506912453E-2</v>
      </c>
      <c r="W109" s="279">
        <f t="shared" si="231"/>
        <v>9.1428571428571442E-2</v>
      </c>
      <c r="X109" s="293">
        <f t="shared" si="132"/>
        <v>1.3482949308755761</v>
      </c>
      <c r="Y109" s="279">
        <f t="shared" ref="Y109:AJ109" si="232">Y37*16*4/128/31</f>
        <v>7.8857142857142848E-2</v>
      </c>
      <c r="Z109" s="279">
        <f t="shared" si="232"/>
        <v>8.383870967741934E-2</v>
      </c>
      <c r="AA109" s="279">
        <f t="shared" si="232"/>
        <v>0.1182857142857143</v>
      </c>
      <c r="AB109" s="279">
        <f t="shared" si="232"/>
        <v>0.13990783410138249</v>
      </c>
      <c r="AC109" s="279">
        <f t="shared" si="232"/>
        <v>0.1577142857142857</v>
      </c>
      <c r="AD109" s="279">
        <f t="shared" si="232"/>
        <v>0.13990783410138249</v>
      </c>
      <c r="AE109" s="279">
        <f t="shared" si="232"/>
        <v>0.13142857142857145</v>
      </c>
      <c r="AF109" s="279">
        <f t="shared" si="232"/>
        <v>0.16428571428571431</v>
      </c>
      <c r="AG109" s="279">
        <f t="shared" si="232"/>
        <v>0.15898617511520735</v>
      </c>
      <c r="AH109" s="279">
        <f t="shared" si="232"/>
        <v>0.1577142857142857</v>
      </c>
      <c r="AI109" s="279">
        <f t="shared" si="232"/>
        <v>0.11447004608294931</v>
      </c>
      <c r="AJ109" s="279">
        <f t="shared" si="232"/>
        <v>0.10514285714285714</v>
      </c>
      <c r="AK109" s="293">
        <f t="shared" si="199"/>
        <v>1.5505391705069125</v>
      </c>
      <c r="AL109" s="279">
        <f t="shared" ref="AL109:AW109" si="233">AL37*16*4/128/31</f>
        <v>8.6742857142857149E-2</v>
      </c>
      <c r="AM109" s="279">
        <f t="shared" si="233"/>
        <v>9.2222580645161284E-2</v>
      </c>
      <c r="AN109" s="279">
        <f t="shared" si="233"/>
        <v>0.13011428571428574</v>
      </c>
      <c r="AO109" s="279">
        <f t="shared" si="233"/>
        <v>0.15389861751152076</v>
      </c>
      <c r="AP109" s="279">
        <f t="shared" si="233"/>
        <v>0.1734857142857143</v>
      </c>
      <c r="AQ109" s="279">
        <f t="shared" si="233"/>
        <v>0.15389861751152076</v>
      </c>
      <c r="AR109" s="279">
        <f t="shared" si="233"/>
        <v>0.1445714285714286</v>
      </c>
      <c r="AS109" s="279">
        <f t="shared" si="233"/>
        <v>0.18071428571428577</v>
      </c>
      <c r="AT109" s="279">
        <f t="shared" si="233"/>
        <v>0.1748847926267281</v>
      </c>
      <c r="AU109" s="279">
        <f t="shared" si="233"/>
        <v>0.1734857142857143</v>
      </c>
      <c r="AV109" s="279">
        <f t="shared" si="233"/>
        <v>0.12591705069124423</v>
      </c>
      <c r="AW109" s="279">
        <f t="shared" si="233"/>
        <v>0.11565714285714286</v>
      </c>
      <c r="AX109" s="293">
        <f t="shared" si="201"/>
        <v>1.7055930875576037</v>
      </c>
      <c r="AY109" s="279">
        <f t="shared" ref="AY109:BJ109" si="234">AY37*16*4/128/31</f>
        <v>9.1080000000000008E-2</v>
      </c>
      <c r="AZ109" s="279">
        <f t="shared" si="234"/>
        <v>9.6833709677419347E-2</v>
      </c>
      <c r="BA109" s="279">
        <f t="shared" si="234"/>
        <v>0.13662000000000002</v>
      </c>
      <c r="BB109" s="279">
        <f t="shared" si="234"/>
        <v>0.16159354838709677</v>
      </c>
      <c r="BC109" s="279">
        <f t="shared" si="234"/>
        <v>0.18216000000000002</v>
      </c>
      <c r="BD109" s="279">
        <f t="shared" si="234"/>
        <v>0.16159354838709677</v>
      </c>
      <c r="BE109" s="279">
        <f t="shared" si="234"/>
        <v>0.15180000000000002</v>
      </c>
      <c r="BF109" s="279">
        <f t="shared" si="234"/>
        <v>0.18975000000000006</v>
      </c>
      <c r="BG109" s="279">
        <f t="shared" si="234"/>
        <v>0.18362903225806451</v>
      </c>
      <c r="BH109" s="279">
        <f t="shared" si="234"/>
        <v>0.18216000000000002</v>
      </c>
      <c r="BI109" s="279">
        <f t="shared" si="234"/>
        <v>0.13221290322580645</v>
      </c>
      <c r="BJ109" s="279">
        <f t="shared" si="234"/>
        <v>0.12144000000000002</v>
      </c>
      <c r="BK109" s="293">
        <f t="shared" si="203"/>
        <v>1.790872741935484</v>
      </c>
      <c r="BL109" s="279">
        <f t="shared" ref="BL109:BW109" si="235">BL37*16*4/128/31</f>
        <v>9.5634000000000025E-2</v>
      </c>
      <c r="BM109" s="279">
        <f t="shared" si="235"/>
        <v>0.10167539516129033</v>
      </c>
      <c r="BN109" s="279">
        <f t="shared" si="235"/>
        <v>0.14345100000000002</v>
      </c>
      <c r="BO109" s="279">
        <f t="shared" si="235"/>
        <v>0.16967322580645161</v>
      </c>
      <c r="BP109" s="279">
        <f t="shared" si="235"/>
        <v>0.19126800000000005</v>
      </c>
      <c r="BQ109" s="279">
        <f t="shared" si="235"/>
        <v>0.16967322580645161</v>
      </c>
      <c r="BR109" s="279">
        <f t="shared" si="235"/>
        <v>0.15939000000000003</v>
      </c>
      <c r="BS109" s="279">
        <f t="shared" si="235"/>
        <v>0.19923750000000007</v>
      </c>
      <c r="BT109" s="279">
        <f t="shared" si="235"/>
        <v>0.19281048387096775</v>
      </c>
      <c r="BU109" s="279">
        <f t="shared" si="235"/>
        <v>0.19126800000000005</v>
      </c>
      <c r="BV109" s="279">
        <f t="shared" si="235"/>
        <v>0.13882354838709679</v>
      </c>
      <c r="BW109" s="279">
        <f t="shared" si="235"/>
        <v>0.12751200000000001</v>
      </c>
      <c r="BX109" s="293">
        <f t="shared" si="205"/>
        <v>1.8804163790322581</v>
      </c>
    </row>
    <row r="110" spans="7:76" ht="15.75" customHeight="1">
      <c r="G110" s="106"/>
      <c r="H110" s="106"/>
      <c r="I110" s="92"/>
      <c r="J110" s="92" t="str">
        <f t="shared" si="196"/>
        <v>Rotating IPA #1</v>
      </c>
      <c r="L110" s="279">
        <f t="shared" ref="L110:W110" si="236">L38*16*4/128/31</f>
        <v>0.13714285714285715</v>
      </c>
      <c r="M110" s="279">
        <f t="shared" si="236"/>
        <v>0.1458064516129032</v>
      </c>
      <c r="N110" s="279">
        <f t="shared" si="236"/>
        <v>0.20571428571428574</v>
      </c>
      <c r="O110" s="279">
        <f t="shared" si="236"/>
        <v>0.24331797235023045</v>
      </c>
      <c r="P110" s="279">
        <f t="shared" si="236"/>
        <v>0.2742857142857143</v>
      </c>
      <c r="Q110" s="279">
        <f t="shared" si="236"/>
        <v>0.24331797235023045</v>
      </c>
      <c r="R110" s="279">
        <f t="shared" si="236"/>
        <v>0.22857142857142859</v>
      </c>
      <c r="S110" s="279">
        <f t="shared" si="236"/>
        <v>0.28571428571428581</v>
      </c>
      <c r="T110" s="279">
        <f t="shared" si="236"/>
        <v>0.27649769585253453</v>
      </c>
      <c r="U110" s="279">
        <f t="shared" si="236"/>
        <v>0.2742857142857143</v>
      </c>
      <c r="V110" s="279">
        <f t="shared" si="236"/>
        <v>0.19907834101382491</v>
      </c>
      <c r="W110" s="279">
        <f t="shared" si="236"/>
        <v>0.18285714285714288</v>
      </c>
      <c r="X110" s="293">
        <f t="shared" si="132"/>
        <v>2.6965898617511521</v>
      </c>
      <c r="Y110" s="279">
        <f t="shared" ref="Y110:AJ110" si="237">Y38*16*4/128/31</f>
        <v>0.1577142857142857</v>
      </c>
      <c r="Z110" s="279">
        <f t="shared" si="237"/>
        <v>0.16767741935483868</v>
      </c>
      <c r="AA110" s="279">
        <f t="shared" si="237"/>
        <v>0.2365714285714286</v>
      </c>
      <c r="AB110" s="279">
        <f t="shared" si="237"/>
        <v>0.27981566820276499</v>
      </c>
      <c r="AC110" s="279">
        <f t="shared" si="237"/>
        <v>0.31542857142857139</v>
      </c>
      <c r="AD110" s="279">
        <f t="shared" si="237"/>
        <v>0.27981566820276499</v>
      </c>
      <c r="AE110" s="279">
        <f t="shared" si="237"/>
        <v>0.2628571428571429</v>
      </c>
      <c r="AF110" s="279">
        <f t="shared" si="237"/>
        <v>0.32857142857142863</v>
      </c>
      <c r="AG110" s="279">
        <f t="shared" si="237"/>
        <v>0.3179723502304147</v>
      </c>
      <c r="AH110" s="279">
        <f t="shared" si="237"/>
        <v>0.31542857142857139</v>
      </c>
      <c r="AI110" s="279">
        <f t="shared" si="237"/>
        <v>0.22894009216589861</v>
      </c>
      <c r="AJ110" s="279">
        <f t="shared" si="237"/>
        <v>0.21028571428571427</v>
      </c>
      <c r="AK110" s="293">
        <f t="shared" si="199"/>
        <v>3.101078341013825</v>
      </c>
      <c r="AL110" s="279">
        <f t="shared" ref="AL110:AW110" si="238">AL38*16*4/128/31</f>
        <v>0.1734857142857143</v>
      </c>
      <c r="AM110" s="279">
        <f t="shared" si="238"/>
        <v>0.18444516129032257</v>
      </c>
      <c r="AN110" s="279">
        <f t="shared" si="238"/>
        <v>0.26022857142857148</v>
      </c>
      <c r="AO110" s="279">
        <f t="shared" si="238"/>
        <v>0.30779723502304152</v>
      </c>
      <c r="AP110" s="279">
        <f t="shared" si="238"/>
        <v>0.3469714285714286</v>
      </c>
      <c r="AQ110" s="279">
        <f t="shared" si="238"/>
        <v>0.30779723502304152</v>
      </c>
      <c r="AR110" s="279">
        <f t="shared" si="238"/>
        <v>0.2891428571428572</v>
      </c>
      <c r="AS110" s="279">
        <f t="shared" si="238"/>
        <v>0.36142857142857154</v>
      </c>
      <c r="AT110" s="279">
        <f t="shared" si="238"/>
        <v>0.34976958525345619</v>
      </c>
      <c r="AU110" s="279">
        <f t="shared" si="238"/>
        <v>0.3469714285714286</v>
      </c>
      <c r="AV110" s="279">
        <f t="shared" si="238"/>
        <v>0.25183410138248846</v>
      </c>
      <c r="AW110" s="279">
        <f t="shared" si="238"/>
        <v>0.23131428571428572</v>
      </c>
      <c r="AX110" s="293">
        <f t="shared" si="201"/>
        <v>3.4111861751152075</v>
      </c>
      <c r="AY110" s="279">
        <f t="shared" ref="AY110:BJ110" si="239">AY38*16*4/128/31</f>
        <v>0.18216000000000002</v>
      </c>
      <c r="AZ110" s="279">
        <f t="shared" si="239"/>
        <v>0.19366741935483869</v>
      </c>
      <c r="BA110" s="279">
        <f t="shared" si="239"/>
        <v>0.27324000000000004</v>
      </c>
      <c r="BB110" s="279">
        <f t="shared" si="239"/>
        <v>0.32318709677419355</v>
      </c>
      <c r="BC110" s="279">
        <f t="shared" si="239"/>
        <v>0.36432000000000003</v>
      </c>
      <c r="BD110" s="279">
        <f t="shared" si="239"/>
        <v>0.32318709677419355</v>
      </c>
      <c r="BE110" s="279">
        <f t="shared" si="239"/>
        <v>0.30360000000000004</v>
      </c>
      <c r="BF110" s="279">
        <f t="shared" si="239"/>
        <v>0.37950000000000012</v>
      </c>
      <c r="BG110" s="279">
        <f t="shared" si="239"/>
        <v>0.36725806451612902</v>
      </c>
      <c r="BH110" s="279">
        <f t="shared" si="239"/>
        <v>0.36432000000000003</v>
      </c>
      <c r="BI110" s="279">
        <f t="shared" si="239"/>
        <v>0.2644258064516129</v>
      </c>
      <c r="BJ110" s="279">
        <f t="shared" si="239"/>
        <v>0.24288000000000004</v>
      </c>
      <c r="BK110" s="293">
        <f t="shared" si="203"/>
        <v>3.5817454838709679</v>
      </c>
      <c r="BL110" s="279">
        <f t="shared" ref="BL110:BW110" si="240">BL38*16*4/128/31</f>
        <v>0.19126800000000005</v>
      </c>
      <c r="BM110" s="279">
        <f t="shared" si="240"/>
        <v>0.20335079032258066</v>
      </c>
      <c r="BN110" s="279">
        <f t="shared" si="240"/>
        <v>0.28690200000000005</v>
      </c>
      <c r="BO110" s="279">
        <f t="shared" si="240"/>
        <v>0.33934645161290322</v>
      </c>
      <c r="BP110" s="279">
        <f t="shared" si="240"/>
        <v>0.3825360000000001</v>
      </c>
      <c r="BQ110" s="279">
        <f t="shared" si="240"/>
        <v>0.33934645161290322</v>
      </c>
      <c r="BR110" s="279">
        <f t="shared" si="240"/>
        <v>0.31878000000000006</v>
      </c>
      <c r="BS110" s="279">
        <f t="shared" si="240"/>
        <v>0.39847500000000013</v>
      </c>
      <c r="BT110" s="279">
        <f t="shared" si="240"/>
        <v>0.38562096774193549</v>
      </c>
      <c r="BU110" s="279">
        <f t="shared" si="240"/>
        <v>0.3825360000000001</v>
      </c>
      <c r="BV110" s="279">
        <f t="shared" si="240"/>
        <v>0.27764709677419358</v>
      </c>
      <c r="BW110" s="279">
        <f t="shared" si="240"/>
        <v>0.25502400000000003</v>
      </c>
      <c r="BX110" s="293">
        <f t="shared" si="205"/>
        <v>3.7608327580645162</v>
      </c>
    </row>
    <row r="111" spans="7:76" ht="15.75" customHeight="1">
      <c r="G111" s="106"/>
      <c r="H111" s="106"/>
      <c r="I111" s="92"/>
      <c r="J111" s="92" t="str">
        <f t="shared" si="196"/>
        <v>Rotating IPA #2</v>
      </c>
      <c r="L111" s="279">
        <f t="shared" ref="L111:W111" si="241">L39*16*4/128/31</f>
        <v>6.8571428571428575E-2</v>
      </c>
      <c r="M111" s="279">
        <f t="shared" si="241"/>
        <v>7.2903225806451602E-2</v>
      </c>
      <c r="N111" s="279">
        <f t="shared" si="241"/>
        <v>0.10285714285714287</v>
      </c>
      <c r="O111" s="279">
        <f t="shared" si="241"/>
        <v>0.12165898617511522</v>
      </c>
      <c r="P111" s="279">
        <f t="shared" si="241"/>
        <v>0.13714285714285715</v>
      </c>
      <c r="Q111" s="279">
        <f t="shared" si="241"/>
        <v>0.12165898617511522</v>
      </c>
      <c r="R111" s="279">
        <f t="shared" si="241"/>
        <v>0.1142857142857143</v>
      </c>
      <c r="S111" s="279">
        <f t="shared" si="241"/>
        <v>0.1428571428571429</v>
      </c>
      <c r="T111" s="279">
        <f t="shared" si="241"/>
        <v>0.13824884792626727</v>
      </c>
      <c r="U111" s="279">
        <f t="shared" si="241"/>
        <v>0.13714285714285715</v>
      </c>
      <c r="V111" s="279">
        <f t="shared" si="241"/>
        <v>9.9539170506912453E-2</v>
      </c>
      <c r="W111" s="279">
        <f t="shared" si="241"/>
        <v>9.1428571428571442E-2</v>
      </c>
      <c r="X111" s="293">
        <f t="shared" si="132"/>
        <v>1.3482949308755761</v>
      </c>
      <c r="Y111" s="279">
        <f t="shared" ref="Y111:AJ111" si="242">Y39*16*4/128/31</f>
        <v>7.8857142857142848E-2</v>
      </c>
      <c r="Z111" s="279">
        <f t="shared" si="242"/>
        <v>8.383870967741934E-2</v>
      </c>
      <c r="AA111" s="279">
        <f t="shared" si="242"/>
        <v>0.1182857142857143</v>
      </c>
      <c r="AB111" s="279">
        <f t="shared" si="242"/>
        <v>0.13990783410138249</v>
      </c>
      <c r="AC111" s="279">
        <f t="shared" si="242"/>
        <v>0.1577142857142857</v>
      </c>
      <c r="AD111" s="279">
        <f t="shared" si="242"/>
        <v>0.13990783410138249</v>
      </c>
      <c r="AE111" s="279">
        <f t="shared" si="242"/>
        <v>0.13142857142857145</v>
      </c>
      <c r="AF111" s="279">
        <f t="shared" si="242"/>
        <v>0.16428571428571431</v>
      </c>
      <c r="AG111" s="279">
        <f t="shared" si="242"/>
        <v>0.15898617511520735</v>
      </c>
      <c r="AH111" s="279">
        <f t="shared" si="242"/>
        <v>0.1577142857142857</v>
      </c>
      <c r="AI111" s="279">
        <f t="shared" si="242"/>
        <v>0.11447004608294931</v>
      </c>
      <c r="AJ111" s="279">
        <f t="shared" si="242"/>
        <v>0.10514285714285714</v>
      </c>
      <c r="AK111" s="293">
        <f t="shared" si="199"/>
        <v>1.5505391705069125</v>
      </c>
      <c r="AL111" s="279">
        <f t="shared" ref="AL111:AW111" si="243">AL39*16*4/128/31</f>
        <v>8.6742857142857149E-2</v>
      </c>
      <c r="AM111" s="279">
        <f t="shared" si="243"/>
        <v>9.2222580645161284E-2</v>
      </c>
      <c r="AN111" s="279">
        <f t="shared" si="243"/>
        <v>0.13011428571428574</v>
      </c>
      <c r="AO111" s="279">
        <f t="shared" si="243"/>
        <v>0.15389861751152076</v>
      </c>
      <c r="AP111" s="279">
        <f t="shared" si="243"/>
        <v>0.1734857142857143</v>
      </c>
      <c r="AQ111" s="279">
        <f t="shared" si="243"/>
        <v>0.15389861751152076</v>
      </c>
      <c r="AR111" s="279">
        <f t="shared" si="243"/>
        <v>0.1445714285714286</v>
      </c>
      <c r="AS111" s="279">
        <f t="shared" si="243"/>
        <v>0.18071428571428577</v>
      </c>
      <c r="AT111" s="279">
        <f t="shared" si="243"/>
        <v>0.1748847926267281</v>
      </c>
      <c r="AU111" s="279">
        <f t="shared" si="243"/>
        <v>0.1734857142857143</v>
      </c>
      <c r="AV111" s="279">
        <f t="shared" si="243"/>
        <v>0.12591705069124423</v>
      </c>
      <c r="AW111" s="279">
        <f t="shared" si="243"/>
        <v>0.11565714285714286</v>
      </c>
      <c r="AX111" s="293">
        <f t="shared" si="201"/>
        <v>1.7055930875576037</v>
      </c>
      <c r="AY111" s="279">
        <f t="shared" ref="AY111:BJ111" si="244">AY39*16*4/128/31</f>
        <v>9.1080000000000008E-2</v>
      </c>
      <c r="AZ111" s="279">
        <f t="shared" si="244"/>
        <v>9.6833709677419347E-2</v>
      </c>
      <c r="BA111" s="279">
        <f t="shared" si="244"/>
        <v>0.13662000000000002</v>
      </c>
      <c r="BB111" s="279">
        <f t="shared" si="244"/>
        <v>0.16159354838709677</v>
      </c>
      <c r="BC111" s="279">
        <f t="shared" si="244"/>
        <v>0.18216000000000002</v>
      </c>
      <c r="BD111" s="279">
        <f t="shared" si="244"/>
        <v>0.16159354838709677</v>
      </c>
      <c r="BE111" s="279">
        <f t="shared" si="244"/>
        <v>0.15180000000000002</v>
      </c>
      <c r="BF111" s="279">
        <f t="shared" si="244"/>
        <v>0.18975000000000006</v>
      </c>
      <c r="BG111" s="279">
        <f t="shared" si="244"/>
        <v>0.18362903225806451</v>
      </c>
      <c r="BH111" s="279">
        <f t="shared" si="244"/>
        <v>0.18216000000000002</v>
      </c>
      <c r="BI111" s="279">
        <f t="shared" si="244"/>
        <v>0.13221290322580645</v>
      </c>
      <c r="BJ111" s="279">
        <f t="shared" si="244"/>
        <v>0.12144000000000002</v>
      </c>
      <c r="BK111" s="293">
        <f t="shared" si="203"/>
        <v>1.790872741935484</v>
      </c>
      <c r="BL111" s="279">
        <f t="shared" ref="BL111:BW111" si="245">BL39*16*4/128/31</f>
        <v>9.5634000000000025E-2</v>
      </c>
      <c r="BM111" s="279">
        <f t="shared" si="245"/>
        <v>0.10167539516129033</v>
      </c>
      <c r="BN111" s="279">
        <f t="shared" si="245"/>
        <v>0.14345100000000002</v>
      </c>
      <c r="BO111" s="279">
        <f t="shared" si="245"/>
        <v>0.16967322580645161</v>
      </c>
      <c r="BP111" s="279">
        <f t="shared" si="245"/>
        <v>0.19126800000000005</v>
      </c>
      <c r="BQ111" s="279">
        <f t="shared" si="245"/>
        <v>0.16967322580645161</v>
      </c>
      <c r="BR111" s="279">
        <f t="shared" si="245"/>
        <v>0.15939000000000003</v>
      </c>
      <c r="BS111" s="279">
        <f t="shared" si="245"/>
        <v>0.19923750000000007</v>
      </c>
      <c r="BT111" s="279">
        <f t="shared" si="245"/>
        <v>0.19281048387096775</v>
      </c>
      <c r="BU111" s="279">
        <f t="shared" si="245"/>
        <v>0.19126800000000005</v>
      </c>
      <c r="BV111" s="279">
        <f t="shared" si="245"/>
        <v>0.13882354838709679</v>
      </c>
      <c r="BW111" s="279">
        <f t="shared" si="245"/>
        <v>0.12751200000000001</v>
      </c>
      <c r="BX111" s="293">
        <f t="shared" si="205"/>
        <v>1.8804163790322581</v>
      </c>
    </row>
    <row r="112" spans="7:76" ht="15.75" customHeight="1">
      <c r="G112" s="106"/>
      <c r="H112" s="106"/>
      <c r="I112" s="92"/>
      <c r="J112" s="92" t="str">
        <f t="shared" si="196"/>
        <v>Special release</v>
      </c>
      <c r="L112" s="279">
        <f t="shared" ref="L112:W112" si="246">L40*16*4/128/31</f>
        <v>0</v>
      </c>
      <c r="M112" s="279">
        <f t="shared" si="246"/>
        <v>0</v>
      </c>
      <c r="N112" s="279">
        <f t="shared" si="246"/>
        <v>0</v>
      </c>
      <c r="O112" s="279">
        <f t="shared" si="246"/>
        <v>0</v>
      </c>
      <c r="P112" s="279">
        <f t="shared" si="246"/>
        <v>0</v>
      </c>
      <c r="Q112" s="279">
        <f t="shared" si="246"/>
        <v>0</v>
      </c>
      <c r="R112" s="279">
        <f t="shared" si="246"/>
        <v>0</v>
      </c>
      <c r="S112" s="279">
        <f t="shared" si="246"/>
        <v>0</v>
      </c>
      <c r="T112" s="279">
        <f t="shared" si="246"/>
        <v>0</v>
      </c>
      <c r="U112" s="279">
        <f t="shared" si="246"/>
        <v>0</v>
      </c>
      <c r="V112" s="279">
        <f t="shared" si="246"/>
        <v>0</v>
      </c>
      <c r="W112" s="279">
        <f t="shared" si="246"/>
        <v>0</v>
      </c>
      <c r="X112" s="293">
        <f t="shared" si="132"/>
        <v>0</v>
      </c>
      <c r="Y112" s="279">
        <f t="shared" ref="Y112:AJ112" si="247">Y40*16*4/128/31</f>
        <v>0</v>
      </c>
      <c r="Z112" s="279">
        <f t="shared" si="247"/>
        <v>0</v>
      </c>
      <c r="AA112" s="279">
        <f t="shared" si="247"/>
        <v>0</v>
      </c>
      <c r="AB112" s="279">
        <f t="shared" si="247"/>
        <v>0</v>
      </c>
      <c r="AC112" s="279">
        <f t="shared" si="247"/>
        <v>0</v>
      </c>
      <c r="AD112" s="279">
        <f t="shared" si="247"/>
        <v>0</v>
      </c>
      <c r="AE112" s="279">
        <f t="shared" si="247"/>
        <v>0</v>
      </c>
      <c r="AF112" s="279">
        <f t="shared" si="247"/>
        <v>0</v>
      </c>
      <c r="AG112" s="279">
        <f t="shared" si="247"/>
        <v>0</v>
      </c>
      <c r="AH112" s="279">
        <f t="shared" si="247"/>
        <v>0</v>
      </c>
      <c r="AI112" s="279">
        <f t="shared" si="247"/>
        <v>0</v>
      </c>
      <c r="AJ112" s="279">
        <f t="shared" si="247"/>
        <v>0</v>
      </c>
      <c r="AK112" s="293">
        <f t="shared" si="199"/>
        <v>0</v>
      </c>
      <c r="AL112" s="279">
        <f t="shared" ref="AL112:AW112" si="248">AL40*16*4/128/31</f>
        <v>0</v>
      </c>
      <c r="AM112" s="279">
        <f t="shared" si="248"/>
        <v>0</v>
      </c>
      <c r="AN112" s="279">
        <f t="shared" si="248"/>
        <v>0</v>
      </c>
      <c r="AO112" s="279">
        <f t="shared" si="248"/>
        <v>0</v>
      </c>
      <c r="AP112" s="279">
        <f t="shared" si="248"/>
        <v>0</v>
      </c>
      <c r="AQ112" s="279">
        <f t="shared" si="248"/>
        <v>0</v>
      </c>
      <c r="AR112" s="279">
        <f t="shared" si="248"/>
        <v>0</v>
      </c>
      <c r="AS112" s="279">
        <f t="shared" si="248"/>
        <v>0</v>
      </c>
      <c r="AT112" s="279">
        <f t="shared" si="248"/>
        <v>0</v>
      </c>
      <c r="AU112" s="279">
        <f t="shared" si="248"/>
        <v>0</v>
      </c>
      <c r="AV112" s="279">
        <f t="shared" si="248"/>
        <v>0</v>
      </c>
      <c r="AW112" s="279">
        <f t="shared" si="248"/>
        <v>0</v>
      </c>
      <c r="AX112" s="293">
        <f t="shared" si="201"/>
        <v>0</v>
      </c>
      <c r="AY112" s="279">
        <f t="shared" ref="AY112:BJ112" si="249">AY40*16*4/128/31</f>
        <v>0</v>
      </c>
      <c r="AZ112" s="279">
        <f t="shared" si="249"/>
        <v>0</v>
      </c>
      <c r="BA112" s="279">
        <f t="shared" si="249"/>
        <v>0</v>
      </c>
      <c r="BB112" s="279">
        <f t="shared" si="249"/>
        <v>0</v>
      </c>
      <c r="BC112" s="279">
        <f t="shared" si="249"/>
        <v>0</v>
      </c>
      <c r="BD112" s="279">
        <f t="shared" si="249"/>
        <v>0</v>
      </c>
      <c r="BE112" s="279">
        <f t="shared" si="249"/>
        <v>0</v>
      </c>
      <c r="BF112" s="279">
        <f t="shared" si="249"/>
        <v>0</v>
      </c>
      <c r="BG112" s="279">
        <f t="shared" si="249"/>
        <v>0</v>
      </c>
      <c r="BH112" s="279">
        <f t="shared" si="249"/>
        <v>0</v>
      </c>
      <c r="BI112" s="279">
        <f t="shared" si="249"/>
        <v>0</v>
      </c>
      <c r="BJ112" s="279">
        <f t="shared" si="249"/>
        <v>0</v>
      </c>
      <c r="BK112" s="293">
        <f t="shared" si="203"/>
        <v>0</v>
      </c>
      <c r="BL112" s="279">
        <f t="shared" ref="BL112:BW112" si="250">BL40*16*4/128/31</f>
        <v>0</v>
      </c>
      <c r="BM112" s="279">
        <f t="shared" si="250"/>
        <v>0</v>
      </c>
      <c r="BN112" s="279">
        <f t="shared" si="250"/>
        <v>0</v>
      </c>
      <c r="BO112" s="279">
        <f t="shared" si="250"/>
        <v>0</v>
      </c>
      <c r="BP112" s="279">
        <f t="shared" si="250"/>
        <v>0</v>
      </c>
      <c r="BQ112" s="279">
        <f t="shared" si="250"/>
        <v>0</v>
      </c>
      <c r="BR112" s="279">
        <f t="shared" si="250"/>
        <v>0</v>
      </c>
      <c r="BS112" s="279">
        <f t="shared" si="250"/>
        <v>0</v>
      </c>
      <c r="BT112" s="279">
        <f t="shared" si="250"/>
        <v>0</v>
      </c>
      <c r="BU112" s="279">
        <f t="shared" si="250"/>
        <v>0</v>
      </c>
      <c r="BV112" s="279">
        <f t="shared" si="250"/>
        <v>0</v>
      </c>
      <c r="BW112" s="279">
        <f t="shared" si="250"/>
        <v>0</v>
      </c>
      <c r="BX112" s="293">
        <f t="shared" si="205"/>
        <v>0</v>
      </c>
    </row>
    <row r="113" spans="2:76" ht="15.75" customHeight="1">
      <c r="G113" s="106"/>
      <c r="H113" s="106"/>
      <c r="I113" s="92"/>
      <c r="J113" s="92">
        <f t="shared" si="196"/>
        <v>0</v>
      </c>
      <c r="L113" s="279">
        <f t="shared" ref="L113:W113" si="251">L41*16*4/128/31</f>
        <v>0</v>
      </c>
      <c r="M113" s="279">
        <f t="shared" si="251"/>
        <v>0</v>
      </c>
      <c r="N113" s="279">
        <f t="shared" si="251"/>
        <v>0</v>
      </c>
      <c r="O113" s="279">
        <f t="shared" si="251"/>
        <v>0</v>
      </c>
      <c r="P113" s="279">
        <f t="shared" si="251"/>
        <v>0</v>
      </c>
      <c r="Q113" s="279">
        <f t="shared" si="251"/>
        <v>0</v>
      </c>
      <c r="R113" s="279">
        <f t="shared" si="251"/>
        <v>0</v>
      </c>
      <c r="S113" s="279">
        <f t="shared" si="251"/>
        <v>0</v>
      </c>
      <c r="T113" s="279">
        <f t="shared" si="251"/>
        <v>0</v>
      </c>
      <c r="U113" s="279">
        <f t="shared" si="251"/>
        <v>0</v>
      </c>
      <c r="V113" s="279">
        <f t="shared" si="251"/>
        <v>0</v>
      </c>
      <c r="W113" s="279">
        <f t="shared" si="251"/>
        <v>0</v>
      </c>
      <c r="X113" s="293">
        <f>SUM(L113:W113)</f>
        <v>0</v>
      </c>
      <c r="Y113" s="279">
        <f t="shared" ref="Y113:AJ113" si="252">Y41*16*4/128/31</f>
        <v>0</v>
      </c>
      <c r="Z113" s="279">
        <f t="shared" si="252"/>
        <v>0</v>
      </c>
      <c r="AA113" s="279">
        <f t="shared" si="252"/>
        <v>0</v>
      </c>
      <c r="AB113" s="279">
        <f t="shared" si="252"/>
        <v>0</v>
      </c>
      <c r="AC113" s="279">
        <f t="shared" si="252"/>
        <v>0</v>
      </c>
      <c r="AD113" s="279">
        <f t="shared" si="252"/>
        <v>0</v>
      </c>
      <c r="AE113" s="279">
        <f t="shared" si="252"/>
        <v>0</v>
      </c>
      <c r="AF113" s="279">
        <f t="shared" si="252"/>
        <v>0</v>
      </c>
      <c r="AG113" s="279">
        <f t="shared" si="252"/>
        <v>0</v>
      </c>
      <c r="AH113" s="279">
        <f t="shared" si="252"/>
        <v>0</v>
      </c>
      <c r="AI113" s="279">
        <f t="shared" si="252"/>
        <v>0</v>
      </c>
      <c r="AJ113" s="279">
        <f t="shared" si="252"/>
        <v>0</v>
      </c>
      <c r="AK113" s="293">
        <f t="shared" si="199"/>
        <v>0</v>
      </c>
      <c r="AL113" s="279">
        <f t="shared" ref="AL113:AW113" si="253">AL41*16*4/128/31</f>
        <v>0</v>
      </c>
      <c r="AM113" s="279">
        <f t="shared" si="253"/>
        <v>0</v>
      </c>
      <c r="AN113" s="279">
        <f t="shared" si="253"/>
        <v>0</v>
      </c>
      <c r="AO113" s="279">
        <f t="shared" si="253"/>
        <v>0</v>
      </c>
      <c r="AP113" s="279">
        <f t="shared" si="253"/>
        <v>0</v>
      </c>
      <c r="AQ113" s="279">
        <f t="shared" si="253"/>
        <v>0</v>
      </c>
      <c r="AR113" s="279">
        <f t="shared" si="253"/>
        <v>0</v>
      </c>
      <c r="AS113" s="279">
        <f t="shared" si="253"/>
        <v>0</v>
      </c>
      <c r="AT113" s="279">
        <f t="shared" si="253"/>
        <v>0</v>
      </c>
      <c r="AU113" s="279">
        <f t="shared" si="253"/>
        <v>0</v>
      </c>
      <c r="AV113" s="279">
        <f t="shared" si="253"/>
        <v>0</v>
      </c>
      <c r="AW113" s="279">
        <f t="shared" si="253"/>
        <v>0</v>
      </c>
      <c r="AX113" s="293">
        <f t="shared" si="201"/>
        <v>0</v>
      </c>
      <c r="AY113" s="279">
        <f t="shared" ref="AY113:BJ113" si="254">AY41*16*4/128/31</f>
        <v>0</v>
      </c>
      <c r="AZ113" s="279">
        <f t="shared" si="254"/>
        <v>0</v>
      </c>
      <c r="BA113" s="279">
        <f t="shared" si="254"/>
        <v>0</v>
      </c>
      <c r="BB113" s="279">
        <f t="shared" si="254"/>
        <v>0</v>
      </c>
      <c r="BC113" s="279">
        <f t="shared" si="254"/>
        <v>0</v>
      </c>
      <c r="BD113" s="279">
        <f t="shared" si="254"/>
        <v>0</v>
      </c>
      <c r="BE113" s="279">
        <f t="shared" si="254"/>
        <v>0</v>
      </c>
      <c r="BF113" s="279">
        <f t="shared" si="254"/>
        <v>0</v>
      </c>
      <c r="BG113" s="279">
        <f t="shared" si="254"/>
        <v>0</v>
      </c>
      <c r="BH113" s="279">
        <f t="shared" si="254"/>
        <v>0</v>
      </c>
      <c r="BI113" s="279">
        <f t="shared" si="254"/>
        <v>0</v>
      </c>
      <c r="BJ113" s="279">
        <f t="shared" si="254"/>
        <v>0</v>
      </c>
      <c r="BK113" s="293">
        <f t="shared" si="203"/>
        <v>0</v>
      </c>
      <c r="BL113" s="279">
        <f t="shared" ref="BL113:BW113" si="255">BL41*16*4/128/31</f>
        <v>0</v>
      </c>
      <c r="BM113" s="279">
        <f t="shared" si="255"/>
        <v>0</v>
      </c>
      <c r="BN113" s="279">
        <f t="shared" si="255"/>
        <v>0</v>
      </c>
      <c r="BO113" s="279">
        <f t="shared" si="255"/>
        <v>0</v>
      </c>
      <c r="BP113" s="279">
        <f t="shared" si="255"/>
        <v>0</v>
      </c>
      <c r="BQ113" s="279">
        <f t="shared" si="255"/>
        <v>0</v>
      </c>
      <c r="BR113" s="279">
        <f t="shared" si="255"/>
        <v>0</v>
      </c>
      <c r="BS113" s="279">
        <f t="shared" si="255"/>
        <v>0</v>
      </c>
      <c r="BT113" s="279">
        <f t="shared" si="255"/>
        <v>0</v>
      </c>
      <c r="BU113" s="279">
        <f t="shared" si="255"/>
        <v>0</v>
      </c>
      <c r="BV113" s="279">
        <f t="shared" si="255"/>
        <v>0</v>
      </c>
      <c r="BW113" s="279">
        <f t="shared" si="255"/>
        <v>0</v>
      </c>
      <c r="BX113" s="293">
        <f t="shared" si="205"/>
        <v>0</v>
      </c>
    </row>
    <row r="114" spans="2:76" ht="15.75" customHeight="1">
      <c r="G114" s="106"/>
      <c r="H114" s="106"/>
      <c r="I114" s="92"/>
      <c r="J114" s="92">
        <f t="shared" si="196"/>
        <v>0</v>
      </c>
      <c r="L114" s="279">
        <f t="shared" ref="L114:W114" si="256">L42*16*4/128/31</f>
        <v>0</v>
      </c>
      <c r="M114" s="279">
        <f t="shared" si="256"/>
        <v>0</v>
      </c>
      <c r="N114" s="279">
        <f t="shared" si="256"/>
        <v>0</v>
      </c>
      <c r="O114" s="279">
        <f t="shared" si="256"/>
        <v>0</v>
      </c>
      <c r="P114" s="279">
        <f t="shared" si="256"/>
        <v>0</v>
      </c>
      <c r="Q114" s="279">
        <f t="shared" si="256"/>
        <v>0</v>
      </c>
      <c r="R114" s="279">
        <f t="shared" si="256"/>
        <v>0</v>
      </c>
      <c r="S114" s="279">
        <f t="shared" si="256"/>
        <v>0</v>
      </c>
      <c r="T114" s="279">
        <f t="shared" si="256"/>
        <v>0</v>
      </c>
      <c r="U114" s="279">
        <f t="shared" si="256"/>
        <v>0</v>
      </c>
      <c r="V114" s="279">
        <f t="shared" si="256"/>
        <v>0</v>
      </c>
      <c r="W114" s="279">
        <f t="shared" si="256"/>
        <v>0</v>
      </c>
      <c r="X114" s="293">
        <f>SUM(L114:W114)</f>
        <v>0</v>
      </c>
      <c r="Y114" s="279">
        <f t="shared" ref="Y114:AJ114" si="257">Y42*16*4/128/31</f>
        <v>0</v>
      </c>
      <c r="Z114" s="279">
        <f t="shared" si="257"/>
        <v>0</v>
      </c>
      <c r="AA114" s="279">
        <f t="shared" si="257"/>
        <v>0</v>
      </c>
      <c r="AB114" s="279">
        <f t="shared" si="257"/>
        <v>0</v>
      </c>
      <c r="AC114" s="279">
        <f t="shared" si="257"/>
        <v>0</v>
      </c>
      <c r="AD114" s="279">
        <f t="shared" si="257"/>
        <v>0</v>
      </c>
      <c r="AE114" s="279">
        <f t="shared" si="257"/>
        <v>0</v>
      </c>
      <c r="AF114" s="279">
        <f t="shared" si="257"/>
        <v>0</v>
      </c>
      <c r="AG114" s="279">
        <f t="shared" si="257"/>
        <v>0</v>
      </c>
      <c r="AH114" s="279">
        <f t="shared" si="257"/>
        <v>0</v>
      </c>
      <c r="AI114" s="279">
        <f t="shared" si="257"/>
        <v>0</v>
      </c>
      <c r="AJ114" s="279">
        <f t="shared" si="257"/>
        <v>0</v>
      </c>
      <c r="AK114" s="293">
        <f t="shared" si="199"/>
        <v>0</v>
      </c>
      <c r="AL114" s="279">
        <f t="shared" ref="AL114:AW114" si="258">AL42*16*4/128/31</f>
        <v>0</v>
      </c>
      <c r="AM114" s="279">
        <f t="shared" si="258"/>
        <v>0</v>
      </c>
      <c r="AN114" s="279">
        <f t="shared" si="258"/>
        <v>0</v>
      </c>
      <c r="AO114" s="279">
        <f t="shared" si="258"/>
        <v>0</v>
      </c>
      <c r="AP114" s="279">
        <f t="shared" si="258"/>
        <v>0</v>
      </c>
      <c r="AQ114" s="279">
        <f t="shared" si="258"/>
        <v>0</v>
      </c>
      <c r="AR114" s="279">
        <f t="shared" si="258"/>
        <v>0</v>
      </c>
      <c r="AS114" s="279">
        <f t="shared" si="258"/>
        <v>0</v>
      </c>
      <c r="AT114" s="279">
        <f t="shared" si="258"/>
        <v>0</v>
      </c>
      <c r="AU114" s="279">
        <f t="shared" si="258"/>
        <v>0</v>
      </c>
      <c r="AV114" s="279">
        <f t="shared" si="258"/>
        <v>0</v>
      </c>
      <c r="AW114" s="279">
        <f t="shared" si="258"/>
        <v>0</v>
      </c>
      <c r="AX114" s="293">
        <f t="shared" si="201"/>
        <v>0</v>
      </c>
      <c r="AY114" s="279">
        <f t="shared" ref="AY114:BJ114" si="259">AY42*16*4/128/31</f>
        <v>0</v>
      </c>
      <c r="AZ114" s="279">
        <f t="shared" si="259"/>
        <v>0</v>
      </c>
      <c r="BA114" s="279">
        <f t="shared" si="259"/>
        <v>0</v>
      </c>
      <c r="BB114" s="279">
        <f t="shared" si="259"/>
        <v>0</v>
      </c>
      <c r="BC114" s="279">
        <f t="shared" si="259"/>
        <v>0</v>
      </c>
      <c r="BD114" s="279">
        <f t="shared" si="259"/>
        <v>0</v>
      </c>
      <c r="BE114" s="279">
        <f t="shared" si="259"/>
        <v>0</v>
      </c>
      <c r="BF114" s="279">
        <f t="shared" si="259"/>
        <v>0</v>
      </c>
      <c r="BG114" s="279">
        <f t="shared" si="259"/>
        <v>0</v>
      </c>
      <c r="BH114" s="279">
        <f t="shared" si="259"/>
        <v>0</v>
      </c>
      <c r="BI114" s="279">
        <f t="shared" si="259"/>
        <v>0</v>
      </c>
      <c r="BJ114" s="279">
        <f t="shared" si="259"/>
        <v>0</v>
      </c>
      <c r="BK114" s="293">
        <f t="shared" si="203"/>
        <v>0</v>
      </c>
      <c r="BL114" s="279">
        <f t="shared" ref="BL114:BW114" si="260">BL42*16*4/128/31</f>
        <v>0</v>
      </c>
      <c r="BM114" s="279">
        <f t="shared" si="260"/>
        <v>0</v>
      </c>
      <c r="BN114" s="279">
        <f t="shared" si="260"/>
        <v>0</v>
      </c>
      <c r="BO114" s="279">
        <f t="shared" si="260"/>
        <v>0</v>
      </c>
      <c r="BP114" s="279">
        <f t="shared" si="260"/>
        <v>0</v>
      </c>
      <c r="BQ114" s="279">
        <f t="shared" si="260"/>
        <v>0</v>
      </c>
      <c r="BR114" s="279">
        <f t="shared" si="260"/>
        <v>0</v>
      </c>
      <c r="BS114" s="279">
        <f t="shared" si="260"/>
        <v>0</v>
      </c>
      <c r="BT114" s="279">
        <f t="shared" si="260"/>
        <v>0</v>
      </c>
      <c r="BU114" s="279">
        <f t="shared" si="260"/>
        <v>0</v>
      </c>
      <c r="BV114" s="279">
        <f t="shared" si="260"/>
        <v>0</v>
      </c>
      <c r="BW114" s="279">
        <f t="shared" si="260"/>
        <v>0</v>
      </c>
      <c r="BX114" s="293">
        <f t="shared" si="205"/>
        <v>0</v>
      </c>
    </row>
    <row r="115" spans="2:76" ht="15.75" customHeight="1">
      <c r="G115" s="106"/>
      <c r="H115" s="106"/>
      <c r="I115" s="92"/>
      <c r="J115" s="92">
        <f t="shared" si="196"/>
        <v>0</v>
      </c>
      <c r="L115" s="279">
        <f t="shared" ref="L115:W115" si="261">L43*16*4/128/31</f>
        <v>0</v>
      </c>
      <c r="M115" s="279">
        <f t="shared" si="261"/>
        <v>0</v>
      </c>
      <c r="N115" s="279">
        <f t="shared" si="261"/>
        <v>0</v>
      </c>
      <c r="O115" s="279">
        <f t="shared" si="261"/>
        <v>0</v>
      </c>
      <c r="P115" s="279">
        <f t="shared" si="261"/>
        <v>0</v>
      </c>
      <c r="Q115" s="279">
        <f t="shared" si="261"/>
        <v>0</v>
      </c>
      <c r="R115" s="279">
        <f t="shared" si="261"/>
        <v>0</v>
      </c>
      <c r="S115" s="279">
        <f t="shared" si="261"/>
        <v>0</v>
      </c>
      <c r="T115" s="279">
        <f t="shared" si="261"/>
        <v>0</v>
      </c>
      <c r="U115" s="279">
        <f t="shared" si="261"/>
        <v>0</v>
      </c>
      <c r="V115" s="279">
        <f t="shared" si="261"/>
        <v>0</v>
      </c>
      <c r="W115" s="279">
        <f t="shared" si="261"/>
        <v>0</v>
      </c>
      <c r="X115" s="293">
        <f>SUM(L115:W115)</f>
        <v>0</v>
      </c>
      <c r="Y115" s="279">
        <f t="shared" ref="Y115:AJ115" si="262">Y43*16*4/128/31</f>
        <v>0</v>
      </c>
      <c r="Z115" s="279">
        <f t="shared" si="262"/>
        <v>0</v>
      </c>
      <c r="AA115" s="279">
        <f t="shared" si="262"/>
        <v>0</v>
      </c>
      <c r="AB115" s="279">
        <f t="shared" si="262"/>
        <v>0</v>
      </c>
      <c r="AC115" s="279">
        <f t="shared" si="262"/>
        <v>0</v>
      </c>
      <c r="AD115" s="279">
        <f t="shared" si="262"/>
        <v>0</v>
      </c>
      <c r="AE115" s="279">
        <f t="shared" si="262"/>
        <v>0</v>
      </c>
      <c r="AF115" s="279">
        <f t="shared" si="262"/>
        <v>0</v>
      </c>
      <c r="AG115" s="279">
        <f t="shared" si="262"/>
        <v>0</v>
      </c>
      <c r="AH115" s="279">
        <f t="shared" si="262"/>
        <v>0</v>
      </c>
      <c r="AI115" s="279">
        <f t="shared" si="262"/>
        <v>0</v>
      </c>
      <c r="AJ115" s="279">
        <f t="shared" si="262"/>
        <v>0</v>
      </c>
      <c r="AK115" s="293">
        <f t="shared" si="199"/>
        <v>0</v>
      </c>
      <c r="AL115" s="279">
        <f t="shared" ref="AL115:AW115" si="263">AL43*16*4/128/31</f>
        <v>0</v>
      </c>
      <c r="AM115" s="279">
        <f t="shared" si="263"/>
        <v>0</v>
      </c>
      <c r="AN115" s="279">
        <f t="shared" si="263"/>
        <v>0</v>
      </c>
      <c r="AO115" s="279">
        <f t="shared" si="263"/>
        <v>0</v>
      </c>
      <c r="AP115" s="279">
        <f t="shared" si="263"/>
        <v>0</v>
      </c>
      <c r="AQ115" s="279">
        <f t="shared" si="263"/>
        <v>0</v>
      </c>
      <c r="AR115" s="279">
        <f t="shared" si="263"/>
        <v>0</v>
      </c>
      <c r="AS115" s="279">
        <f t="shared" si="263"/>
        <v>0</v>
      </c>
      <c r="AT115" s="279">
        <f t="shared" si="263"/>
        <v>0</v>
      </c>
      <c r="AU115" s="279">
        <f t="shared" si="263"/>
        <v>0</v>
      </c>
      <c r="AV115" s="279">
        <f t="shared" si="263"/>
        <v>0</v>
      </c>
      <c r="AW115" s="279">
        <f t="shared" si="263"/>
        <v>0</v>
      </c>
      <c r="AX115" s="293">
        <f t="shared" si="201"/>
        <v>0</v>
      </c>
      <c r="AY115" s="279">
        <f t="shared" ref="AY115:BJ115" si="264">AY43*16*4/128/31</f>
        <v>0</v>
      </c>
      <c r="AZ115" s="279">
        <f t="shared" si="264"/>
        <v>0</v>
      </c>
      <c r="BA115" s="279">
        <f t="shared" si="264"/>
        <v>0</v>
      </c>
      <c r="BB115" s="279">
        <f t="shared" si="264"/>
        <v>0</v>
      </c>
      <c r="BC115" s="279">
        <f t="shared" si="264"/>
        <v>0</v>
      </c>
      <c r="BD115" s="279">
        <f t="shared" si="264"/>
        <v>0</v>
      </c>
      <c r="BE115" s="279">
        <f t="shared" si="264"/>
        <v>0</v>
      </c>
      <c r="BF115" s="279">
        <f t="shared" si="264"/>
        <v>0</v>
      </c>
      <c r="BG115" s="279">
        <f t="shared" si="264"/>
        <v>0</v>
      </c>
      <c r="BH115" s="279">
        <f t="shared" si="264"/>
        <v>0</v>
      </c>
      <c r="BI115" s="279">
        <f t="shared" si="264"/>
        <v>0</v>
      </c>
      <c r="BJ115" s="279">
        <f t="shared" si="264"/>
        <v>0</v>
      </c>
      <c r="BK115" s="293">
        <f t="shared" si="203"/>
        <v>0</v>
      </c>
      <c r="BL115" s="279">
        <f t="shared" ref="BL115:BW115" si="265">BL43*16*4/128/31</f>
        <v>0</v>
      </c>
      <c r="BM115" s="279">
        <f t="shared" si="265"/>
        <v>0</v>
      </c>
      <c r="BN115" s="279">
        <f t="shared" si="265"/>
        <v>0</v>
      </c>
      <c r="BO115" s="279">
        <f t="shared" si="265"/>
        <v>0</v>
      </c>
      <c r="BP115" s="279">
        <f t="shared" si="265"/>
        <v>0</v>
      </c>
      <c r="BQ115" s="279">
        <f t="shared" si="265"/>
        <v>0</v>
      </c>
      <c r="BR115" s="279">
        <f t="shared" si="265"/>
        <v>0</v>
      </c>
      <c r="BS115" s="279">
        <f t="shared" si="265"/>
        <v>0</v>
      </c>
      <c r="BT115" s="279">
        <f t="shared" si="265"/>
        <v>0</v>
      </c>
      <c r="BU115" s="279">
        <f t="shared" si="265"/>
        <v>0</v>
      </c>
      <c r="BV115" s="279">
        <f t="shared" si="265"/>
        <v>0</v>
      </c>
      <c r="BW115" s="279">
        <f t="shared" si="265"/>
        <v>0</v>
      </c>
      <c r="BX115" s="293">
        <f t="shared" si="205"/>
        <v>0</v>
      </c>
    </row>
    <row r="116" spans="2:76" ht="15.75" customHeight="1">
      <c r="G116" s="106"/>
      <c r="H116" s="106"/>
      <c r="I116" s="92"/>
      <c r="J116" s="92"/>
      <c r="Y116"/>
      <c r="AL116"/>
      <c r="AY116"/>
      <c r="BL116"/>
      <c r="BX116" s="264"/>
    </row>
    <row r="117" spans="2:76" ht="15.75" customHeight="1">
      <c r="J117" s="281" t="s">
        <v>518</v>
      </c>
      <c r="L117" s="279">
        <f>SUM(L103:L112,L87:L96)</f>
        <v>12.255389229910717</v>
      </c>
      <c r="M117" s="279">
        <f t="shared" ref="M117:W117" si="266">SUM(M103:M112,M87:M96)</f>
        <v>13.029587205456149</v>
      </c>
      <c r="N117" s="279">
        <f t="shared" si="266"/>
        <v>18.383083844866078</v>
      </c>
      <c r="O117" s="279">
        <f t="shared" si="266"/>
        <v>21.743432504680307</v>
      </c>
      <c r="P117" s="279">
        <f t="shared" si="266"/>
        <v>24.510778459821434</v>
      </c>
      <c r="Q117" s="279">
        <f t="shared" si="266"/>
        <v>21.743432504680307</v>
      </c>
      <c r="R117" s="279">
        <f t="shared" si="266"/>
        <v>20.425648716517863</v>
      </c>
      <c r="S117" s="279">
        <f t="shared" si="266"/>
        <v>25.532060895647316</v>
      </c>
      <c r="T117" s="279">
        <f t="shared" si="266"/>
        <v>24.708446028045795</v>
      </c>
      <c r="U117" s="279">
        <f t="shared" si="266"/>
        <v>24.510778459821434</v>
      </c>
      <c r="V117" s="279">
        <f t="shared" si="266"/>
        <v>17.790081140192974</v>
      </c>
      <c r="W117" s="279">
        <f t="shared" si="266"/>
        <v>16.340518973214284</v>
      </c>
      <c r="X117" s="279">
        <f>SUM(L117:W117)</f>
        <v>240.97323796285463</v>
      </c>
      <c r="Y117" s="279">
        <f>SUM(Y103:Y112,Y87:Y96)</f>
        <v>14.093697614397321</v>
      </c>
      <c r="Z117" s="279">
        <f t="shared" ref="Z117:AJ117" si="267">SUM(Z103:Z112,Z87:Z96)</f>
        <v>14.984025286274566</v>
      </c>
      <c r="AA117" s="279">
        <f t="shared" si="267"/>
        <v>21.140546421595982</v>
      </c>
      <c r="AB117" s="279">
        <f t="shared" si="267"/>
        <v>25.004947380382344</v>
      </c>
      <c r="AC117" s="279">
        <f t="shared" si="267"/>
        <v>28.187395228794642</v>
      </c>
      <c r="AD117" s="279">
        <f t="shared" si="267"/>
        <v>25.004947380382344</v>
      </c>
      <c r="AE117" s="279">
        <f t="shared" si="267"/>
        <v>23.489496023995535</v>
      </c>
      <c r="AF117" s="279">
        <f t="shared" si="267"/>
        <v>29.361870029994414</v>
      </c>
      <c r="AG117" s="279">
        <f t="shared" si="267"/>
        <v>28.414712932252659</v>
      </c>
      <c r="AH117" s="279">
        <f t="shared" si="267"/>
        <v>28.187395228794642</v>
      </c>
      <c r="AI117" s="279">
        <f t="shared" si="267"/>
        <v>20.458593311221914</v>
      </c>
      <c r="AJ117" s="279">
        <f t="shared" si="267"/>
        <v>18.791596819196428</v>
      </c>
      <c r="AK117" s="279">
        <f>SUM(Y117:AJ117)</f>
        <v>277.11922365728276</v>
      </c>
      <c r="AL117" s="279">
        <f>SUM(AL103:AL112,AL87:AL96)</f>
        <v>15.503067375837048</v>
      </c>
      <c r="AM117" s="279">
        <f t="shared" ref="AM117:AW117" si="268">SUM(AM103:AM112,AM87:AM96)</f>
        <v>16.482427814902028</v>
      </c>
      <c r="AN117" s="279">
        <f t="shared" si="268"/>
        <v>23.254601063755583</v>
      </c>
      <c r="AO117" s="279">
        <f t="shared" si="268"/>
        <v>27.505442118420586</v>
      </c>
      <c r="AP117" s="279">
        <f t="shared" si="268"/>
        <v>31.006134751674097</v>
      </c>
      <c r="AQ117" s="279">
        <f t="shared" si="268"/>
        <v>27.505442118420586</v>
      </c>
      <c r="AR117" s="279">
        <f t="shared" si="268"/>
        <v>25.838445626395092</v>
      </c>
      <c r="AS117" s="279">
        <f t="shared" si="268"/>
        <v>32.29805703299386</v>
      </c>
      <c r="AT117" s="279">
        <f t="shared" si="268"/>
        <v>31.256184225477931</v>
      </c>
      <c r="AU117" s="279">
        <f t="shared" si="268"/>
        <v>31.006134751674097</v>
      </c>
      <c r="AV117" s="279">
        <f t="shared" si="268"/>
        <v>22.504452642344109</v>
      </c>
      <c r="AW117" s="279">
        <f t="shared" si="268"/>
        <v>20.670756501116067</v>
      </c>
      <c r="AX117" s="279">
        <f>SUM(AL117:AW117)</f>
        <v>304.83114602301112</v>
      </c>
      <c r="AY117" s="279">
        <f>SUM(AY103:AY112,AY87:AY96)</f>
        <v>16.278220744628911</v>
      </c>
      <c r="AZ117" s="279">
        <f t="shared" ref="AZ117:BJ117" si="269">SUM(AZ103:AZ112,AZ87:AZ96)</f>
        <v>17.30654920564713</v>
      </c>
      <c r="BA117" s="279">
        <f t="shared" si="269"/>
        <v>24.417331116943366</v>
      </c>
      <c r="BB117" s="279">
        <f t="shared" si="269"/>
        <v>28.88071422434161</v>
      </c>
      <c r="BC117" s="279">
        <f t="shared" si="269"/>
        <v>32.556441489257821</v>
      </c>
      <c r="BD117" s="279">
        <f t="shared" si="269"/>
        <v>28.88071422434161</v>
      </c>
      <c r="BE117" s="279">
        <f t="shared" si="269"/>
        <v>27.130367907714842</v>
      </c>
      <c r="BF117" s="279">
        <f t="shared" si="269"/>
        <v>33.912959884643556</v>
      </c>
      <c r="BG117" s="279">
        <f t="shared" si="269"/>
        <v>32.818993436751832</v>
      </c>
      <c r="BH117" s="279">
        <f t="shared" si="269"/>
        <v>32.556441489257821</v>
      </c>
      <c r="BI117" s="279">
        <f t="shared" si="269"/>
        <v>23.629675274461324</v>
      </c>
      <c r="BJ117" s="279">
        <f t="shared" si="269"/>
        <v>21.704294326171876</v>
      </c>
      <c r="BK117" s="279">
        <f>SUM(AY117:BJ117)</f>
        <v>320.07270332416169</v>
      </c>
      <c r="BL117" s="279">
        <f>SUM(BL103:BL112,BL87:BL96)</f>
        <v>17.092131781860356</v>
      </c>
      <c r="BM117" s="279">
        <f t="shared" ref="BM117:BW117" si="270">SUM(BM103:BM112,BM87:BM96)</f>
        <v>18.171876665929489</v>
      </c>
      <c r="BN117" s="279">
        <f t="shared" si="270"/>
        <v>25.638197672790543</v>
      </c>
      <c r="BO117" s="279">
        <f t="shared" si="270"/>
        <v>30.3247499355587</v>
      </c>
      <c r="BP117" s="279">
        <f t="shared" si="270"/>
        <v>34.184263563720712</v>
      </c>
      <c r="BQ117" s="279">
        <f t="shared" si="270"/>
        <v>30.3247499355587</v>
      </c>
      <c r="BR117" s="279">
        <f t="shared" si="270"/>
        <v>28.486886303100594</v>
      </c>
      <c r="BS117" s="279">
        <f t="shared" si="270"/>
        <v>35.608607878875738</v>
      </c>
      <c r="BT117" s="279">
        <f t="shared" si="270"/>
        <v>34.459943108589407</v>
      </c>
      <c r="BU117" s="279">
        <f t="shared" si="270"/>
        <v>34.184263563720712</v>
      </c>
      <c r="BV117" s="279">
        <f t="shared" si="270"/>
        <v>24.811159038184389</v>
      </c>
      <c r="BW117" s="279">
        <f t="shared" si="270"/>
        <v>22.789509042480478</v>
      </c>
      <c r="BX117" s="279">
        <f>SUM(BL117:BW117)</f>
        <v>336.07633849036978</v>
      </c>
    </row>
    <row r="118" spans="2:76" ht="15.75" customHeight="1"/>
    <row r="119" spans="2:76" ht="15.75" customHeight="1"/>
    <row r="120" spans="2:76" ht="15.75" customHeight="1">
      <c r="G120" s="274" t="s">
        <v>626</v>
      </c>
      <c r="H120" s="274"/>
      <c r="I120" s="92"/>
      <c r="J120" s="92"/>
    </row>
    <row r="121" spans="2:76" ht="15.75" customHeight="1">
      <c r="B121" s="355" t="s">
        <v>627</v>
      </c>
      <c r="C121" s="355"/>
      <c r="D121" s="355"/>
      <c r="E121" s="355"/>
      <c r="F121" s="355"/>
      <c r="G121" s="106"/>
      <c r="H121" s="106"/>
      <c r="I121" s="92"/>
      <c r="J121" s="92" t="str">
        <f t="shared" ref="J121:J124" si="271">J87</f>
        <v>Core 1 - Lager</v>
      </c>
      <c r="L121" s="279">
        <f>L87*$B$122</f>
        <v>0.23555625000000002</v>
      </c>
      <c r="M121" s="279">
        <f t="shared" ref="M121:W121" si="272">M87*$B$122</f>
        <v>0.25043681955645158</v>
      </c>
      <c r="N121" s="279">
        <f t="shared" si="272"/>
        <v>0.35333437500000003</v>
      </c>
      <c r="O121" s="279">
        <f t="shared" si="272"/>
        <v>0.41792237903225821</v>
      </c>
      <c r="P121" s="279">
        <f t="shared" si="272"/>
        <v>0.47111250000000005</v>
      </c>
      <c r="Q121" s="279">
        <f t="shared" si="272"/>
        <v>0.41792237903225821</v>
      </c>
      <c r="R121" s="279">
        <f t="shared" si="272"/>
        <v>0.39259375000000007</v>
      </c>
      <c r="S121" s="279">
        <f t="shared" si="272"/>
        <v>0.49074218750000009</v>
      </c>
      <c r="T121" s="279">
        <f t="shared" si="272"/>
        <v>0.47491179435483871</v>
      </c>
      <c r="U121" s="279">
        <f t="shared" si="272"/>
        <v>0.47111250000000005</v>
      </c>
      <c r="V121" s="279">
        <f t="shared" si="272"/>
        <v>0.34193649193548392</v>
      </c>
      <c r="W121" s="279">
        <f t="shared" si="272"/>
        <v>0.31407500000000005</v>
      </c>
      <c r="X121" s="293">
        <f t="shared" ref="X121:X124" si="273">SUM(L121:W121)</f>
        <v>4.6316564264112907</v>
      </c>
      <c r="Y121" s="279">
        <f>Y87*$B$122</f>
        <v>0.27088968749999998</v>
      </c>
      <c r="Z121" s="279">
        <f t="shared" ref="Z121:AJ121" si="274">Z87*$B$122</f>
        <v>0.28800234248991935</v>
      </c>
      <c r="AA121" s="279">
        <f t="shared" si="274"/>
        <v>0.40633453125000002</v>
      </c>
      <c r="AB121" s="279">
        <f t="shared" si="274"/>
        <v>0.48061073588709685</v>
      </c>
      <c r="AC121" s="279">
        <f t="shared" si="274"/>
        <v>0.54177937499999995</v>
      </c>
      <c r="AD121" s="279">
        <f t="shared" si="274"/>
        <v>0.48061073588709685</v>
      </c>
      <c r="AE121" s="279">
        <f t="shared" si="274"/>
        <v>0.45148281250000005</v>
      </c>
      <c r="AF121" s="279">
        <f t="shared" si="274"/>
        <v>0.56435351562500002</v>
      </c>
      <c r="AG121" s="279">
        <f t="shared" si="274"/>
        <v>0.5461485635080644</v>
      </c>
      <c r="AH121" s="279">
        <f t="shared" si="274"/>
        <v>0.54177937499999995</v>
      </c>
      <c r="AI121" s="279">
        <f t="shared" si="274"/>
        <v>0.39322696572580651</v>
      </c>
      <c r="AJ121" s="279">
        <f t="shared" si="274"/>
        <v>0.36118625000000004</v>
      </c>
      <c r="AK121" s="293">
        <f t="shared" ref="AK121:AK124" si="275">SUM(Y121:AJ121)</f>
        <v>5.3264048903729844</v>
      </c>
      <c r="AL121" s="279">
        <f>AL87*$B$122</f>
        <v>0.29797865624999997</v>
      </c>
      <c r="AM121" s="279">
        <f t="shared" ref="AM121:AW121" si="276">AM87*$B$122</f>
        <v>0.31680257673891132</v>
      </c>
      <c r="AN121" s="279">
        <f t="shared" si="276"/>
        <v>0.44696798437500002</v>
      </c>
      <c r="AO121" s="279">
        <f t="shared" si="276"/>
        <v>0.52867180947580661</v>
      </c>
      <c r="AP121" s="279">
        <f t="shared" si="276"/>
        <v>0.59595731249999995</v>
      </c>
      <c r="AQ121" s="279">
        <f t="shared" si="276"/>
        <v>0.52867180947580661</v>
      </c>
      <c r="AR121" s="279">
        <f t="shared" si="276"/>
        <v>0.49663109374999997</v>
      </c>
      <c r="AS121" s="279">
        <f t="shared" si="276"/>
        <v>0.62078886718750015</v>
      </c>
      <c r="AT121" s="279">
        <f t="shared" si="276"/>
        <v>0.60076341985887094</v>
      </c>
      <c r="AU121" s="279">
        <f t="shared" si="276"/>
        <v>0.59595731249999995</v>
      </c>
      <c r="AV121" s="279">
        <f t="shared" si="276"/>
        <v>0.43254966229838721</v>
      </c>
      <c r="AW121" s="279">
        <f t="shared" si="276"/>
        <v>0.39730487500000011</v>
      </c>
      <c r="AX121" s="293">
        <f t="shared" ref="AX121:AX124" si="277">SUM(AL121:AW121)</f>
        <v>5.8590453794102828</v>
      </c>
      <c r="AY121" s="279">
        <f>AY87*$B$122</f>
        <v>0.31287758906250002</v>
      </c>
      <c r="AZ121" s="279">
        <f t="shared" ref="AZ121:BJ121" si="278">AZ87*$B$122</f>
        <v>0.3326427055758569</v>
      </c>
      <c r="BA121" s="279">
        <f t="shared" si="278"/>
        <v>0.46931638359375011</v>
      </c>
      <c r="BB121" s="279">
        <f t="shared" si="278"/>
        <v>0.55510539994959696</v>
      </c>
      <c r="BC121" s="279">
        <f t="shared" si="278"/>
        <v>0.62575517812500003</v>
      </c>
      <c r="BD121" s="279">
        <f t="shared" si="278"/>
        <v>0.55510539994959696</v>
      </c>
      <c r="BE121" s="279">
        <f t="shared" si="278"/>
        <v>0.52146264843750001</v>
      </c>
      <c r="BF121" s="279">
        <f t="shared" si="278"/>
        <v>0.65182831054687518</v>
      </c>
      <c r="BG121" s="279">
        <f t="shared" si="278"/>
        <v>0.63080159085181453</v>
      </c>
      <c r="BH121" s="279">
        <f t="shared" si="278"/>
        <v>0.62575517812500003</v>
      </c>
      <c r="BI121" s="279">
        <f t="shared" si="278"/>
        <v>0.45417714541330662</v>
      </c>
      <c r="BJ121" s="279">
        <f t="shared" si="278"/>
        <v>0.4171701187500001</v>
      </c>
      <c r="BK121" s="293">
        <f t="shared" ref="BK121:BK124" si="279">SUM(AY121:BJ121)</f>
        <v>6.1519976483807977</v>
      </c>
      <c r="BL121" s="279">
        <f>BL87*$B$122</f>
        <v>0.32852146851562503</v>
      </c>
      <c r="BM121" s="279">
        <f t="shared" ref="BM121:BW121" si="280">BM87*$B$122</f>
        <v>0.34927484085464977</v>
      </c>
      <c r="BN121" s="279">
        <f t="shared" si="280"/>
        <v>0.49278220277343765</v>
      </c>
      <c r="BO121" s="279">
        <f t="shared" si="280"/>
        <v>0.58286066994707697</v>
      </c>
      <c r="BP121" s="279">
        <f t="shared" si="280"/>
        <v>0.65704293703125005</v>
      </c>
      <c r="BQ121" s="279">
        <f t="shared" si="280"/>
        <v>0.58286066994707697</v>
      </c>
      <c r="BR121" s="279">
        <f t="shared" si="280"/>
        <v>0.54753578085937493</v>
      </c>
      <c r="BS121" s="279">
        <f t="shared" si="280"/>
        <v>0.68441972607421886</v>
      </c>
      <c r="BT121" s="279">
        <f t="shared" si="280"/>
        <v>0.66234167039440528</v>
      </c>
      <c r="BU121" s="279">
        <f t="shared" si="280"/>
        <v>0.65704293703125005</v>
      </c>
      <c r="BV121" s="279">
        <f t="shared" si="280"/>
        <v>0.47688600268397202</v>
      </c>
      <c r="BW121" s="279">
        <f t="shared" si="280"/>
        <v>0.43802862468750003</v>
      </c>
      <c r="BX121" s="293">
        <f t="shared" ref="BX121:BX124" si="281">SUM(BL121:BW121)</f>
        <v>6.4595975307998366</v>
      </c>
    </row>
    <row r="122" spans="2:76" ht="15.75" customHeight="1">
      <c r="B122" s="266">
        <v>0.1</v>
      </c>
      <c r="G122" s="106"/>
      <c r="H122" s="106"/>
      <c r="I122" s="92"/>
      <c r="J122" s="92" t="str">
        <f t="shared" si="271"/>
        <v>Core 2 - Hoppy Pale</v>
      </c>
      <c r="L122" s="279">
        <f t="shared" ref="L122:W122" si="282">L88*$B$122</f>
        <v>0.35333437499999998</v>
      </c>
      <c r="M122" s="279">
        <f t="shared" si="282"/>
        <v>0.37565522933467732</v>
      </c>
      <c r="N122" s="279">
        <f t="shared" si="282"/>
        <v>0.53000156249999997</v>
      </c>
      <c r="O122" s="279">
        <f t="shared" si="282"/>
        <v>0.62688356854838712</v>
      </c>
      <c r="P122" s="279">
        <f t="shared" si="282"/>
        <v>0.70666874999999996</v>
      </c>
      <c r="Q122" s="279">
        <f t="shared" si="282"/>
        <v>0.62688356854838712</v>
      </c>
      <c r="R122" s="279">
        <f t="shared" si="282"/>
        <v>0.588890625</v>
      </c>
      <c r="S122" s="279">
        <f t="shared" si="282"/>
        <v>0.73611328124999997</v>
      </c>
      <c r="T122" s="279">
        <f t="shared" si="282"/>
        <v>0.7123676915322581</v>
      </c>
      <c r="U122" s="279">
        <f t="shared" si="282"/>
        <v>0.70666874999999996</v>
      </c>
      <c r="V122" s="279">
        <f t="shared" si="282"/>
        <v>0.51290473790322588</v>
      </c>
      <c r="W122" s="279">
        <f t="shared" si="282"/>
        <v>0.47111250000000005</v>
      </c>
      <c r="X122" s="293">
        <f t="shared" si="273"/>
        <v>6.9474846396169365</v>
      </c>
      <c r="Y122" s="279">
        <f t="shared" ref="Y122:AJ122" si="283">Y88*$B$122</f>
        <v>0.40633453124999996</v>
      </c>
      <c r="Z122" s="279">
        <f t="shared" si="283"/>
        <v>0.43200351373487894</v>
      </c>
      <c r="AA122" s="279">
        <f t="shared" si="283"/>
        <v>0.60950179687500006</v>
      </c>
      <c r="AB122" s="279">
        <f t="shared" si="283"/>
        <v>0.72091610383064508</v>
      </c>
      <c r="AC122" s="279">
        <f t="shared" si="283"/>
        <v>0.81266906249999993</v>
      </c>
      <c r="AD122" s="279">
        <f t="shared" si="283"/>
        <v>0.72091610383064508</v>
      </c>
      <c r="AE122" s="279">
        <f t="shared" si="283"/>
        <v>0.67722421875000005</v>
      </c>
      <c r="AF122" s="279">
        <f t="shared" si="283"/>
        <v>0.84653027343749976</v>
      </c>
      <c r="AG122" s="279">
        <f t="shared" si="283"/>
        <v>0.81922284526209666</v>
      </c>
      <c r="AH122" s="279">
        <f t="shared" si="283"/>
        <v>0.81266906249999993</v>
      </c>
      <c r="AI122" s="279">
        <f t="shared" si="283"/>
        <v>0.58984044858870965</v>
      </c>
      <c r="AJ122" s="279">
        <f t="shared" si="283"/>
        <v>0.54177937499999995</v>
      </c>
      <c r="AK122" s="293">
        <f t="shared" si="275"/>
        <v>7.9896073355594757</v>
      </c>
      <c r="AL122" s="279">
        <f t="shared" ref="AL122:AW122" si="284">AL88*$B$122</f>
        <v>0.4469679843749999</v>
      </c>
      <c r="AM122" s="279">
        <f t="shared" si="284"/>
        <v>0.47520386510836687</v>
      </c>
      <c r="AN122" s="279">
        <f t="shared" si="284"/>
        <v>0.67045197656250011</v>
      </c>
      <c r="AO122" s="279">
        <f t="shared" si="284"/>
        <v>0.79300771421370964</v>
      </c>
      <c r="AP122" s="279">
        <f t="shared" si="284"/>
        <v>0.89393596874999981</v>
      </c>
      <c r="AQ122" s="279">
        <f t="shared" si="284"/>
        <v>0.79300771421370964</v>
      </c>
      <c r="AR122" s="279">
        <f t="shared" si="284"/>
        <v>0.74494664062500004</v>
      </c>
      <c r="AS122" s="279">
        <f t="shared" si="284"/>
        <v>0.93118330078125</v>
      </c>
      <c r="AT122" s="279">
        <f t="shared" si="284"/>
        <v>0.90114512978830652</v>
      </c>
      <c r="AU122" s="279">
        <f t="shared" si="284"/>
        <v>0.89393596874999981</v>
      </c>
      <c r="AV122" s="279">
        <f t="shared" si="284"/>
        <v>0.64882449344758064</v>
      </c>
      <c r="AW122" s="279">
        <f t="shared" si="284"/>
        <v>0.59595731249999995</v>
      </c>
      <c r="AX122" s="293">
        <f t="shared" si="277"/>
        <v>8.7885680691154224</v>
      </c>
      <c r="AY122" s="279">
        <f t="shared" ref="AY122:BJ122" si="285">AY88*$B$122</f>
        <v>0.46931638359375</v>
      </c>
      <c r="AZ122" s="279">
        <f t="shared" si="285"/>
        <v>0.49896405836378516</v>
      </c>
      <c r="BA122" s="279">
        <f t="shared" si="285"/>
        <v>0.70397457539062513</v>
      </c>
      <c r="BB122" s="279">
        <f t="shared" si="285"/>
        <v>0.83265809992439521</v>
      </c>
      <c r="BC122" s="279">
        <f t="shared" si="285"/>
        <v>0.93863276718749999</v>
      </c>
      <c r="BD122" s="279">
        <f t="shared" si="285"/>
        <v>0.83265809992439521</v>
      </c>
      <c r="BE122" s="279">
        <f t="shared" si="285"/>
        <v>0.78219397265625012</v>
      </c>
      <c r="BF122" s="279">
        <f t="shared" si="285"/>
        <v>0.97774246582031243</v>
      </c>
      <c r="BG122" s="279">
        <f t="shared" si="285"/>
        <v>0.94620238627772191</v>
      </c>
      <c r="BH122" s="279">
        <f t="shared" si="285"/>
        <v>0.93863276718749999</v>
      </c>
      <c r="BI122" s="279">
        <f t="shared" si="285"/>
        <v>0.68126571811995973</v>
      </c>
      <c r="BJ122" s="279">
        <f t="shared" si="285"/>
        <v>0.62575517812500003</v>
      </c>
      <c r="BK122" s="293">
        <f t="shared" si="279"/>
        <v>9.2279964725711956</v>
      </c>
      <c r="BL122" s="279">
        <f t="shared" ref="BL122:BW122" si="286">BL88*$B$122</f>
        <v>0.49278220277343759</v>
      </c>
      <c r="BM122" s="279">
        <f t="shared" si="286"/>
        <v>0.52391226128197455</v>
      </c>
      <c r="BN122" s="279">
        <f t="shared" si="286"/>
        <v>0.73917330416015636</v>
      </c>
      <c r="BO122" s="279">
        <f t="shared" si="286"/>
        <v>0.87429100492061496</v>
      </c>
      <c r="BP122" s="279">
        <f t="shared" si="286"/>
        <v>0.98556440554687519</v>
      </c>
      <c r="BQ122" s="279">
        <f t="shared" si="286"/>
        <v>0.87429100492061496</v>
      </c>
      <c r="BR122" s="279">
        <f t="shared" si="286"/>
        <v>0.82130367128906279</v>
      </c>
      <c r="BS122" s="279">
        <f t="shared" si="286"/>
        <v>1.0266295891113282</v>
      </c>
      <c r="BT122" s="279">
        <f t="shared" si="286"/>
        <v>0.99351250559160809</v>
      </c>
      <c r="BU122" s="279">
        <f t="shared" si="286"/>
        <v>0.98556440554687519</v>
      </c>
      <c r="BV122" s="279">
        <f t="shared" si="286"/>
        <v>0.71532900402595778</v>
      </c>
      <c r="BW122" s="279">
        <f t="shared" si="286"/>
        <v>0.65704293703125005</v>
      </c>
      <c r="BX122" s="293">
        <f t="shared" si="281"/>
        <v>9.6893962961997531</v>
      </c>
    </row>
    <row r="123" spans="2:76" ht="15.75" customHeight="1">
      <c r="G123" s="106"/>
      <c r="H123" s="106"/>
      <c r="I123" s="92"/>
      <c r="J123" s="92" t="str">
        <f t="shared" si="271"/>
        <v>Core 3 - Red Ale</v>
      </c>
      <c r="L123" s="279">
        <f t="shared" ref="L123:W123" si="287">L89*$B$122</f>
        <v>9.674631696428572E-2</v>
      </c>
      <c r="M123" s="279">
        <f t="shared" si="287"/>
        <v>0.10285797946068548</v>
      </c>
      <c r="N123" s="279">
        <f t="shared" si="287"/>
        <v>0.14511947544642861</v>
      </c>
      <c r="O123" s="279">
        <f t="shared" si="287"/>
        <v>0.1716466913882489</v>
      </c>
      <c r="P123" s="279">
        <f t="shared" si="287"/>
        <v>0.19349263392857144</v>
      </c>
      <c r="Q123" s="279">
        <f t="shared" si="287"/>
        <v>0.1716466913882489</v>
      </c>
      <c r="R123" s="279">
        <f t="shared" si="287"/>
        <v>0.16124386160714288</v>
      </c>
      <c r="S123" s="279">
        <f t="shared" si="287"/>
        <v>0.2015548270089286</v>
      </c>
      <c r="T123" s="279">
        <f t="shared" si="287"/>
        <v>0.19505305839573733</v>
      </c>
      <c r="U123" s="279">
        <f t="shared" si="287"/>
        <v>0.19349263392857144</v>
      </c>
      <c r="V123" s="279">
        <f t="shared" si="287"/>
        <v>0.1404382020449309</v>
      </c>
      <c r="W123" s="279">
        <f t="shared" si="287"/>
        <v>0.12899508928571432</v>
      </c>
      <c r="X123" s="293">
        <f t="shared" si="273"/>
        <v>1.9022874608474942</v>
      </c>
      <c r="Y123" s="279">
        <f t="shared" ref="Y123:AJ123" si="288">Y89*$B$122</f>
        <v>0.11125826450892856</v>
      </c>
      <c r="Z123" s="279">
        <f t="shared" si="288"/>
        <v>0.11828667637978829</v>
      </c>
      <c r="AA123" s="279">
        <f t="shared" si="288"/>
        <v>0.16688739676339287</v>
      </c>
      <c r="AB123" s="279">
        <f t="shared" si="288"/>
        <v>0.19739369509648622</v>
      </c>
      <c r="AC123" s="279">
        <f t="shared" si="288"/>
        <v>0.22251652901785712</v>
      </c>
      <c r="AD123" s="279">
        <f t="shared" si="288"/>
        <v>0.19739369509648622</v>
      </c>
      <c r="AE123" s="279">
        <f t="shared" si="288"/>
        <v>0.18543044084821431</v>
      </c>
      <c r="AF123" s="279">
        <f t="shared" si="288"/>
        <v>0.23178805106026787</v>
      </c>
      <c r="AG123" s="279">
        <f t="shared" si="288"/>
        <v>0.22431101715509791</v>
      </c>
      <c r="AH123" s="279">
        <f t="shared" si="288"/>
        <v>0.22251652901785712</v>
      </c>
      <c r="AI123" s="279">
        <f t="shared" si="288"/>
        <v>0.16150393235167051</v>
      </c>
      <c r="AJ123" s="279">
        <f t="shared" si="288"/>
        <v>0.14834435267857146</v>
      </c>
      <c r="AK123" s="293">
        <f t="shared" si="275"/>
        <v>2.187630579974619</v>
      </c>
      <c r="AL123" s="279">
        <f t="shared" ref="AL123:AW123" si="289">AL89*$B$122</f>
        <v>0.12238409095982145</v>
      </c>
      <c r="AM123" s="279">
        <f t="shared" si="289"/>
        <v>0.13011534401776714</v>
      </c>
      <c r="AN123" s="279">
        <f t="shared" si="289"/>
        <v>0.18357613643973217</v>
      </c>
      <c r="AO123" s="279">
        <f t="shared" si="289"/>
        <v>0.21713306460613482</v>
      </c>
      <c r="AP123" s="279">
        <f t="shared" si="289"/>
        <v>0.24476818191964289</v>
      </c>
      <c r="AQ123" s="279">
        <f t="shared" si="289"/>
        <v>0.21713306460613482</v>
      </c>
      <c r="AR123" s="279">
        <f t="shared" si="289"/>
        <v>0.20397348493303569</v>
      </c>
      <c r="AS123" s="279">
        <f t="shared" si="289"/>
        <v>0.25496685616629466</v>
      </c>
      <c r="AT123" s="279">
        <f t="shared" si="289"/>
        <v>0.24674211887060774</v>
      </c>
      <c r="AU123" s="279">
        <f t="shared" si="289"/>
        <v>0.24476818191964289</v>
      </c>
      <c r="AV123" s="279">
        <f t="shared" si="289"/>
        <v>0.17765432558683761</v>
      </c>
      <c r="AW123" s="279">
        <f t="shared" si="289"/>
        <v>0.16317878794642859</v>
      </c>
      <c r="AX123" s="293">
        <f t="shared" si="277"/>
        <v>2.4063936379720809</v>
      </c>
      <c r="AY123" s="279">
        <f t="shared" ref="AY123:BJ123" si="290">AY89*$B$122</f>
        <v>0.1285032955078125</v>
      </c>
      <c r="AZ123" s="279">
        <f t="shared" si="290"/>
        <v>0.1366211112186555</v>
      </c>
      <c r="BA123" s="279">
        <f t="shared" si="290"/>
        <v>0.1927549432617188</v>
      </c>
      <c r="BB123" s="279">
        <f t="shared" si="290"/>
        <v>0.22798971783644162</v>
      </c>
      <c r="BC123" s="279">
        <f t="shared" si="290"/>
        <v>0.25700659101562501</v>
      </c>
      <c r="BD123" s="279">
        <f t="shared" si="290"/>
        <v>0.22798971783644162</v>
      </c>
      <c r="BE123" s="279">
        <f t="shared" si="290"/>
        <v>0.21417215917968752</v>
      </c>
      <c r="BF123" s="279">
        <f t="shared" si="290"/>
        <v>0.26771519897460944</v>
      </c>
      <c r="BG123" s="279">
        <f t="shared" si="290"/>
        <v>0.25907922481413809</v>
      </c>
      <c r="BH123" s="279">
        <f t="shared" si="290"/>
        <v>0.25700659101562501</v>
      </c>
      <c r="BI123" s="279">
        <f t="shared" si="290"/>
        <v>0.1865370418661795</v>
      </c>
      <c r="BJ123" s="279">
        <f t="shared" si="290"/>
        <v>0.17133772734375005</v>
      </c>
      <c r="BK123" s="293">
        <f t="shared" si="279"/>
        <v>2.5267133198706841</v>
      </c>
      <c r="BL123" s="279">
        <f t="shared" ref="BL123:BW123" si="291">BL89*$B$122</f>
        <v>0.13492846028320313</v>
      </c>
      <c r="BM123" s="279">
        <f t="shared" si="291"/>
        <v>0.14345216677958827</v>
      </c>
      <c r="BN123" s="279">
        <f t="shared" si="291"/>
        <v>0.20239269042480476</v>
      </c>
      <c r="BO123" s="279">
        <f t="shared" si="291"/>
        <v>0.23938920372826372</v>
      </c>
      <c r="BP123" s="279">
        <f t="shared" si="291"/>
        <v>0.26985692056640626</v>
      </c>
      <c r="BQ123" s="279">
        <f t="shared" si="291"/>
        <v>0.23938920372826372</v>
      </c>
      <c r="BR123" s="279">
        <f t="shared" si="291"/>
        <v>0.22488076713867186</v>
      </c>
      <c r="BS123" s="279">
        <f t="shared" si="291"/>
        <v>0.28110095892333992</v>
      </c>
      <c r="BT123" s="279">
        <f t="shared" si="291"/>
        <v>0.272033186054845</v>
      </c>
      <c r="BU123" s="279">
        <f t="shared" si="291"/>
        <v>0.26985692056640626</v>
      </c>
      <c r="BV123" s="279">
        <f t="shared" si="291"/>
        <v>0.1958638939594885</v>
      </c>
      <c r="BW123" s="279">
        <f t="shared" si="291"/>
        <v>0.17990461371093758</v>
      </c>
      <c r="BX123" s="293">
        <f t="shared" si="281"/>
        <v>2.6530489858642188</v>
      </c>
    </row>
    <row r="124" spans="2:76" ht="15.75" customHeight="1">
      <c r="G124" s="106"/>
      <c r="H124" s="106"/>
      <c r="I124" s="92"/>
      <c r="J124" s="92" t="str">
        <f t="shared" si="271"/>
        <v>Core 4 - Dark (Porter?)</v>
      </c>
      <c r="L124" s="279">
        <f t="shared" ref="L124:W124" si="292">L90*$B$122</f>
        <v>4.837315848214286E-2</v>
      </c>
      <c r="M124" s="279">
        <f t="shared" si="292"/>
        <v>5.1428989730342739E-2</v>
      </c>
      <c r="N124" s="279">
        <f t="shared" si="292"/>
        <v>7.2559737723214307E-2</v>
      </c>
      <c r="O124" s="279">
        <f t="shared" si="292"/>
        <v>8.5823345694124448E-2</v>
      </c>
      <c r="P124" s="279">
        <f t="shared" si="292"/>
        <v>9.674631696428572E-2</v>
      </c>
      <c r="Q124" s="279">
        <f t="shared" si="292"/>
        <v>8.5823345694124448E-2</v>
      </c>
      <c r="R124" s="279">
        <f t="shared" si="292"/>
        <v>8.062193080357144E-2</v>
      </c>
      <c r="S124" s="279">
        <f t="shared" si="292"/>
        <v>0.1007774135044643</v>
      </c>
      <c r="T124" s="279">
        <f t="shared" si="292"/>
        <v>9.7526529197868667E-2</v>
      </c>
      <c r="U124" s="279">
        <f t="shared" si="292"/>
        <v>9.674631696428572E-2</v>
      </c>
      <c r="V124" s="279">
        <f t="shared" si="292"/>
        <v>7.0219101022465452E-2</v>
      </c>
      <c r="W124" s="279">
        <f t="shared" si="292"/>
        <v>6.449754464285716E-2</v>
      </c>
      <c r="X124" s="293">
        <f t="shared" si="273"/>
        <v>0.95114373042374711</v>
      </c>
      <c r="Y124" s="279">
        <f t="shared" ref="Y124:AJ124" si="293">Y90*$B$122</f>
        <v>5.5629132254464281E-2</v>
      </c>
      <c r="Z124" s="279">
        <f t="shared" si="293"/>
        <v>5.9143338189894146E-2</v>
      </c>
      <c r="AA124" s="279">
        <f t="shared" si="293"/>
        <v>8.3443698381696435E-2</v>
      </c>
      <c r="AB124" s="279">
        <f t="shared" si="293"/>
        <v>9.8696847548243108E-2</v>
      </c>
      <c r="AC124" s="279">
        <f t="shared" si="293"/>
        <v>0.11125826450892856</v>
      </c>
      <c r="AD124" s="279">
        <f t="shared" si="293"/>
        <v>9.8696847548243108E-2</v>
      </c>
      <c r="AE124" s="279">
        <f t="shared" si="293"/>
        <v>9.2715220424107153E-2</v>
      </c>
      <c r="AF124" s="279">
        <f t="shared" si="293"/>
        <v>0.11589402553013393</v>
      </c>
      <c r="AG124" s="279">
        <f t="shared" si="293"/>
        <v>0.11215550857754895</v>
      </c>
      <c r="AH124" s="279">
        <f t="shared" si="293"/>
        <v>0.11125826450892856</v>
      </c>
      <c r="AI124" s="279">
        <f t="shared" si="293"/>
        <v>8.0751966175835257E-2</v>
      </c>
      <c r="AJ124" s="279">
        <f t="shared" si="293"/>
        <v>7.4172176339285731E-2</v>
      </c>
      <c r="AK124" s="293">
        <f t="shared" si="275"/>
        <v>1.0938152899873095</v>
      </c>
      <c r="AL124" s="279">
        <f t="shared" ref="AL124:AW124" si="294">AL90*$B$122</f>
        <v>6.1192045479910723E-2</v>
      </c>
      <c r="AM124" s="279">
        <f t="shared" si="294"/>
        <v>6.5057672008883571E-2</v>
      </c>
      <c r="AN124" s="279">
        <f t="shared" si="294"/>
        <v>9.1788068219866084E-2</v>
      </c>
      <c r="AO124" s="279">
        <f t="shared" si="294"/>
        <v>0.10856653230306741</v>
      </c>
      <c r="AP124" s="279">
        <f t="shared" si="294"/>
        <v>0.12238409095982145</v>
      </c>
      <c r="AQ124" s="279">
        <f t="shared" si="294"/>
        <v>0.10856653230306741</v>
      </c>
      <c r="AR124" s="279">
        <f t="shared" si="294"/>
        <v>0.10198674246651784</v>
      </c>
      <c r="AS124" s="279">
        <f t="shared" si="294"/>
        <v>0.12748342808314733</v>
      </c>
      <c r="AT124" s="279">
        <f t="shared" si="294"/>
        <v>0.12337105943530387</v>
      </c>
      <c r="AU124" s="279">
        <f t="shared" si="294"/>
        <v>0.12238409095982145</v>
      </c>
      <c r="AV124" s="279">
        <f t="shared" si="294"/>
        <v>8.8827162793418804E-2</v>
      </c>
      <c r="AW124" s="279">
        <f t="shared" si="294"/>
        <v>8.1589393973214297E-2</v>
      </c>
      <c r="AX124" s="293">
        <f t="shared" si="277"/>
        <v>1.2031968189860405</v>
      </c>
      <c r="AY124" s="279">
        <f t="shared" ref="AY124:BJ124" si="295">AY90*$B$122</f>
        <v>6.4251647753906252E-2</v>
      </c>
      <c r="AZ124" s="279">
        <f t="shared" si="295"/>
        <v>6.831055560932775E-2</v>
      </c>
      <c r="BA124" s="279">
        <f t="shared" si="295"/>
        <v>9.6377471630859399E-2</v>
      </c>
      <c r="BB124" s="279">
        <f t="shared" si="295"/>
        <v>0.11399485891822081</v>
      </c>
      <c r="BC124" s="279">
        <f t="shared" si="295"/>
        <v>0.1285032955078125</v>
      </c>
      <c r="BD124" s="279">
        <f t="shared" si="295"/>
        <v>0.11399485891822081</v>
      </c>
      <c r="BE124" s="279">
        <f t="shared" si="295"/>
        <v>0.10708607958984376</v>
      </c>
      <c r="BF124" s="279">
        <f t="shared" si="295"/>
        <v>0.13385759948730472</v>
      </c>
      <c r="BG124" s="279">
        <f t="shared" si="295"/>
        <v>0.12953961240706904</v>
      </c>
      <c r="BH124" s="279">
        <f t="shared" si="295"/>
        <v>0.1285032955078125</v>
      </c>
      <c r="BI124" s="279">
        <f t="shared" si="295"/>
        <v>9.3268520933089752E-2</v>
      </c>
      <c r="BJ124" s="279">
        <f t="shared" si="295"/>
        <v>8.5668863671875026E-2</v>
      </c>
      <c r="BK124" s="293">
        <f t="shared" si="279"/>
        <v>1.2633566599353421</v>
      </c>
      <c r="BL124" s="279">
        <f t="shared" ref="BL124:BW124" si="296">BL90*$B$122</f>
        <v>6.7464230141601564E-2</v>
      </c>
      <c r="BM124" s="279">
        <f t="shared" si="296"/>
        <v>7.1726083389794137E-2</v>
      </c>
      <c r="BN124" s="279">
        <f t="shared" si="296"/>
        <v>0.10119634521240238</v>
      </c>
      <c r="BO124" s="279">
        <f t="shared" si="296"/>
        <v>0.11969460186413186</v>
      </c>
      <c r="BP124" s="279">
        <f t="shared" si="296"/>
        <v>0.13492846028320313</v>
      </c>
      <c r="BQ124" s="279">
        <f t="shared" si="296"/>
        <v>0.11969460186413186</v>
      </c>
      <c r="BR124" s="279">
        <f t="shared" si="296"/>
        <v>0.11244038356933593</v>
      </c>
      <c r="BS124" s="279">
        <f t="shared" si="296"/>
        <v>0.14055047946166996</v>
      </c>
      <c r="BT124" s="279">
        <f t="shared" si="296"/>
        <v>0.1360165930274225</v>
      </c>
      <c r="BU124" s="279">
        <f t="shared" si="296"/>
        <v>0.13492846028320313</v>
      </c>
      <c r="BV124" s="279">
        <f t="shared" si="296"/>
        <v>9.793194697974425E-2</v>
      </c>
      <c r="BW124" s="279">
        <f t="shared" si="296"/>
        <v>8.9952306855468789E-2</v>
      </c>
      <c r="BX124" s="293">
        <f t="shared" si="281"/>
        <v>1.3265244929321094</v>
      </c>
    </row>
    <row r="125" spans="2:76" ht="15.75" customHeight="1">
      <c r="L125" s="357">
        <f>SUM(L121:L124)</f>
        <v>0.73401010044642856</v>
      </c>
      <c r="M125" s="357">
        <f t="shared" ref="M125:W125" si="297">SUM(M121:M124)</f>
        <v>0.78037901808215715</v>
      </c>
      <c r="N125" s="357">
        <f t="shared" si="297"/>
        <v>1.1010151506696431</v>
      </c>
      <c r="O125" s="357">
        <f t="shared" si="297"/>
        <v>1.3022759846630185</v>
      </c>
      <c r="P125" s="357">
        <f t="shared" si="297"/>
        <v>1.4680202008928571</v>
      </c>
      <c r="Q125" s="357">
        <f t="shared" si="297"/>
        <v>1.3022759846630185</v>
      </c>
      <c r="R125" s="357">
        <f t="shared" si="297"/>
        <v>1.2233501674107143</v>
      </c>
      <c r="S125" s="357">
        <f t="shared" si="297"/>
        <v>1.5291877092633932</v>
      </c>
      <c r="T125" s="357">
        <f t="shared" si="297"/>
        <v>1.4798590734807027</v>
      </c>
      <c r="U125" s="357">
        <f t="shared" si="297"/>
        <v>1.4680202008928571</v>
      </c>
      <c r="V125" s="357">
        <f t="shared" si="297"/>
        <v>1.0654985329061062</v>
      </c>
      <c r="W125" s="357">
        <f t="shared" si="297"/>
        <v>0.97868013392857167</v>
      </c>
      <c r="Y125"/>
      <c r="AL125"/>
      <c r="AY125"/>
      <c r="BL125"/>
      <c r="BX125" s="264"/>
    </row>
    <row r="126" spans="2:76" ht="15.75" customHeight="1">
      <c r="Y126"/>
      <c r="AL126"/>
      <c r="AY126"/>
      <c r="BL126"/>
      <c r="BX126" s="264"/>
    </row>
    <row r="127" spans="2:76" ht="15.75" customHeight="1">
      <c r="B127" s="274" t="s">
        <v>641</v>
      </c>
      <c r="G127" s="274" t="s">
        <v>628</v>
      </c>
      <c r="H127" s="274"/>
      <c r="I127" s="92"/>
      <c r="J127" s="92"/>
      <c r="Y127"/>
      <c r="AL127"/>
      <c r="AY127"/>
      <c r="BL127"/>
      <c r="BX127" s="264"/>
    </row>
    <row r="128" spans="2:76" ht="15.75" customHeight="1">
      <c r="B128" s="356">
        <v>148</v>
      </c>
      <c r="C128" s="272">
        <f>B128*(1+Assumptions!D$74)</f>
        <v>148</v>
      </c>
      <c r="D128" s="272">
        <f>C128*(1+Assumptions!E$74)</f>
        <v>153.92000000000002</v>
      </c>
      <c r="E128" s="272">
        <f>D128*(1+Assumptions!F$74)</f>
        <v>153.92000000000002</v>
      </c>
      <c r="F128" s="272">
        <f>E128*(1+Assumptions!G$74)</f>
        <v>160.07680000000002</v>
      </c>
      <c r="G128" s="106"/>
      <c r="H128" s="106"/>
      <c r="I128" s="92"/>
      <c r="J128" s="92" t="s">
        <v>506</v>
      </c>
      <c r="L128" s="279">
        <f t="shared" ref="L128:W128" si="298">L121*$B128*6</f>
        <v>209.17395000000005</v>
      </c>
      <c r="M128" s="279">
        <f t="shared" si="298"/>
        <v>222.38789576612902</v>
      </c>
      <c r="N128" s="279">
        <f t="shared" si="298"/>
        <v>313.76092500000004</v>
      </c>
      <c r="O128" s="279">
        <f t="shared" si="298"/>
        <v>371.11507258064529</v>
      </c>
      <c r="P128" s="279">
        <f t="shared" si="298"/>
        <v>418.3479000000001</v>
      </c>
      <c r="Q128" s="279">
        <f t="shared" si="298"/>
        <v>371.11507258064529</v>
      </c>
      <c r="R128" s="279">
        <f t="shared" si="298"/>
        <v>348.62325000000004</v>
      </c>
      <c r="S128" s="279">
        <f t="shared" si="298"/>
        <v>435.77906250000012</v>
      </c>
      <c r="T128" s="279">
        <f t="shared" si="298"/>
        <v>421.72167338709676</v>
      </c>
      <c r="U128" s="279">
        <f t="shared" si="298"/>
        <v>418.3479000000001</v>
      </c>
      <c r="V128" s="279">
        <f t="shared" si="298"/>
        <v>303.63960483870972</v>
      </c>
      <c r="W128" s="279">
        <f t="shared" si="298"/>
        <v>278.89860000000004</v>
      </c>
      <c r="X128" s="293">
        <f t="shared" ref="X128:X131" si="299">SUM(L128:W128)</f>
        <v>4112.9109066532264</v>
      </c>
      <c r="Y128" s="279">
        <f>Y121*$C128*6</f>
        <v>240.55004249999999</v>
      </c>
      <c r="Z128" s="279">
        <f t="shared" ref="Z128:AJ128" si="300">Z121*$C128*6</f>
        <v>255.74608013104836</v>
      </c>
      <c r="AA128" s="279">
        <f t="shared" si="300"/>
        <v>360.82506375000003</v>
      </c>
      <c r="AB128" s="279">
        <f t="shared" si="300"/>
        <v>426.78233346774203</v>
      </c>
      <c r="AC128" s="279">
        <f t="shared" si="300"/>
        <v>481.10008499999998</v>
      </c>
      <c r="AD128" s="279">
        <f t="shared" si="300"/>
        <v>426.78233346774203</v>
      </c>
      <c r="AE128" s="279">
        <f t="shared" si="300"/>
        <v>400.91673750000001</v>
      </c>
      <c r="AF128" s="279">
        <f t="shared" si="300"/>
        <v>501.14592187500006</v>
      </c>
      <c r="AG128" s="279">
        <f t="shared" si="300"/>
        <v>484.97992439516116</v>
      </c>
      <c r="AH128" s="279">
        <f t="shared" si="300"/>
        <v>481.10008499999998</v>
      </c>
      <c r="AI128" s="279">
        <f t="shared" si="300"/>
        <v>349.18554556451619</v>
      </c>
      <c r="AJ128" s="279">
        <f t="shared" si="300"/>
        <v>320.73339000000004</v>
      </c>
      <c r="AK128" s="293">
        <f t="shared" ref="AK128:AK131" si="301">SUM(Y128:AJ128)</f>
        <v>4729.8475426512105</v>
      </c>
      <c r="AL128" s="279">
        <f>AL121*$D128*6</f>
        <v>275.18924862</v>
      </c>
      <c r="AM128" s="279">
        <f t="shared" ref="AM128:AW128" si="302">AM121*$D128*6</f>
        <v>292.5735156699194</v>
      </c>
      <c r="AN128" s="279">
        <f t="shared" si="302"/>
        <v>412.78387293000009</v>
      </c>
      <c r="AO128" s="279">
        <f t="shared" si="302"/>
        <v>488.238989487097</v>
      </c>
      <c r="AP128" s="279">
        <f t="shared" si="302"/>
        <v>550.37849724</v>
      </c>
      <c r="AQ128" s="279">
        <f t="shared" si="302"/>
        <v>488.238989487097</v>
      </c>
      <c r="AR128" s="279">
        <f t="shared" si="302"/>
        <v>458.6487477</v>
      </c>
      <c r="AS128" s="279">
        <f t="shared" si="302"/>
        <v>573.31093462500019</v>
      </c>
      <c r="AT128" s="279">
        <f t="shared" si="302"/>
        <v>554.81703350806447</v>
      </c>
      <c r="AU128" s="279">
        <f t="shared" si="302"/>
        <v>550.37849724</v>
      </c>
      <c r="AV128" s="279">
        <f t="shared" si="302"/>
        <v>399.46826412580663</v>
      </c>
      <c r="AW128" s="279">
        <f t="shared" si="302"/>
        <v>366.91899816000011</v>
      </c>
      <c r="AX128" s="293">
        <f t="shared" ref="AX128:AX131" si="303">SUM(AL128:AW128)</f>
        <v>5410.9455887929853</v>
      </c>
      <c r="AY128" s="279">
        <f>AY121*$E128*6</f>
        <v>288.94871105100003</v>
      </c>
      <c r="AZ128" s="279">
        <f t="shared" ref="AZ128:BJ128" si="304">AZ121*$E128*6</f>
        <v>307.20219145341537</v>
      </c>
      <c r="BA128" s="279">
        <f t="shared" si="304"/>
        <v>433.4230665765001</v>
      </c>
      <c r="BB128" s="279">
        <f t="shared" si="304"/>
        <v>512.65093896145186</v>
      </c>
      <c r="BC128" s="279">
        <f t="shared" si="304"/>
        <v>577.89742210200006</v>
      </c>
      <c r="BD128" s="279">
        <f t="shared" si="304"/>
        <v>512.65093896145186</v>
      </c>
      <c r="BE128" s="279">
        <f t="shared" si="304"/>
        <v>481.58118508500002</v>
      </c>
      <c r="BF128" s="279">
        <f t="shared" si="304"/>
        <v>601.97648135625025</v>
      </c>
      <c r="BG128" s="279">
        <f t="shared" si="304"/>
        <v>582.55788518346787</v>
      </c>
      <c r="BH128" s="279">
        <f t="shared" si="304"/>
        <v>577.89742210200006</v>
      </c>
      <c r="BI128" s="279">
        <f t="shared" si="304"/>
        <v>419.44167733209696</v>
      </c>
      <c r="BJ128" s="279">
        <f t="shared" si="304"/>
        <v>385.26494806800014</v>
      </c>
      <c r="BK128" s="293">
        <f t="shared" ref="BK128:BK131" si="305">SUM(AY128:BJ128)</f>
        <v>5681.4928682326345</v>
      </c>
      <c r="BL128" s="279">
        <f>BL121*$F128*6</f>
        <v>315.53199246769202</v>
      </c>
      <c r="BM128" s="279">
        <f t="shared" ref="BM128:BW128" si="306">BM121*$F128*6</f>
        <v>335.46479306712968</v>
      </c>
      <c r="BN128" s="279">
        <f t="shared" si="306"/>
        <v>473.2979887015382</v>
      </c>
      <c r="BO128" s="279">
        <f t="shared" si="306"/>
        <v>559.81482534590555</v>
      </c>
      <c r="BP128" s="279">
        <f t="shared" si="306"/>
        <v>631.06398493538404</v>
      </c>
      <c r="BQ128" s="279">
        <f t="shared" si="306"/>
        <v>559.81482534590555</v>
      </c>
      <c r="BR128" s="279">
        <f t="shared" si="306"/>
        <v>525.88665411282</v>
      </c>
      <c r="BS128" s="279">
        <f t="shared" si="306"/>
        <v>657.35831764102522</v>
      </c>
      <c r="BT128" s="279">
        <f t="shared" si="306"/>
        <v>636.15321062034695</v>
      </c>
      <c r="BU128" s="279">
        <f t="shared" si="306"/>
        <v>631.06398493538404</v>
      </c>
      <c r="BV128" s="279">
        <f t="shared" si="306"/>
        <v>458.03031164664998</v>
      </c>
      <c r="BW128" s="279">
        <f t="shared" si="306"/>
        <v>420.70932329025607</v>
      </c>
      <c r="BX128" s="293">
        <f t="shared" ref="BX128:BX131" si="307">SUM(BL128:BW128)</f>
        <v>6204.1902121100375</v>
      </c>
    </row>
    <row r="129" spans="2:76" ht="15.75" customHeight="1">
      <c r="B129" s="356">
        <v>162</v>
      </c>
      <c r="C129" s="272">
        <f>B129*(1+Assumptions!D$74)</f>
        <v>162</v>
      </c>
      <c r="D129" s="272">
        <f>C129*(1+Assumptions!E$74)</f>
        <v>168.48000000000002</v>
      </c>
      <c r="E129" s="272">
        <f>D129*(1+Assumptions!F$74)</f>
        <v>168.48000000000002</v>
      </c>
      <c r="F129" s="272">
        <f>E129*(1+Assumptions!G$74)</f>
        <v>175.21920000000003</v>
      </c>
      <c r="G129" s="106"/>
      <c r="H129" s="106"/>
      <c r="I129" s="92"/>
      <c r="J129" s="92" t="s">
        <v>574</v>
      </c>
      <c r="L129" s="279">
        <f t="shared" ref="L129:W129" si="308">L122*$B129*6</f>
        <v>343.44101249999994</v>
      </c>
      <c r="M129" s="279">
        <f t="shared" si="308"/>
        <v>365.13688291330635</v>
      </c>
      <c r="N129" s="279">
        <f t="shared" si="308"/>
        <v>515.16151875000003</v>
      </c>
      <c r="O129" s="279">
        <f t="shared" si="308"/>
        <v>609.33082862903234</v>
      </c>
      <c r="P129" s="279">
        <f t="shared" si="308"/>
        <v>686.88202499999989</v>
      </c>
      <c r="Q129" s="279">
        <f t="shared" si="308"/>
        <v>609.33082862903234</v>
      </c>
      <c r="R129" s="279">
        <f t="shared" si="308"/>
        <v>572.40168749999998</v>
      </c>
      <c r="S129" s="279">
        <f t="shared" si="308"/>
        <v>715.50210937500003</v>
      </c>
      <c r="T129" s="279">
        <f t="shared" si="308"/>
        <v>692.42139616935492</v>
      </c>
      <c r="U129" s="279">
        <f t="shared" si="308"/>
        <v>686.88202499999989</v>
      </c>
      <c r="V129" s="279">
        <f t="shared" si="308"/>
        <v>498.5434052419356</v>
      </c>
      <c r="W129" s="279">
        <f t="shared" si="308"/>
        <v>457.92135000000007</v>
      </c>
      <c r="X129" s="293">
        <f t="shared" si="299"/>
        <v>6752.9550697076611</v>
      </c>
      <c r="Y129" s="279">
        <f t="shared" ref="Y129:AJ131" si="309">Y122*$C129*6</f>
        <v>394.95716437499993</v>
      </c>
      <c r="Z129" s="279">
        <f t="shared" si="309"/>
        <v>419.90741535030236</v>
      </c>
      <c r="AA129" s="279">
        <f t="shared" si="309"/>
        <v>592.43574656250007</v>
      </c>
      <c r="AB129" s="279">
        <f t="shared" si="309"/>
        <v>700.73045292338702</v>
      </c>
      <c r="AC129" s="279">
        <f t="shared" si="309"/>
        <v>789.91432874999987</v>
      </c>
      <c r="AD129" s="279">
        <f t="shared" si="309"/>
        <v>700.73045292338702</v>
      </c>
      <c r="AE129" s="279">
        <f t="shared" si="309"/>
        <v>658.26194062500008</v>
      </c>
      <c r="AF129" s="279">
        <f t="shared" si="309"/>
        <v>822.82742578124976</v>
      </c>
      <c r="AG129" s="279">
        <f t="shared" si="309"/>
        <v>796.28460559475786</v>
      </c>
      <c r="AH129" s="279">
        <f t="shared" si="309"/>
        <v>789.91432874999987</v>
      </c>
      <c r="AI129" s="279">
        <f t="shared" si="309"/>
        <v>573.32491602822574</v>
      </c>
      <c r="AJ129" s="279">
        <f t="shared" si="309"/>
        <v>526.60955249999995</v>
      </c>
      <c r="AK129" s="293">
        <f t="shared" si="301"/>
        <v>7765.8983301638091</v>
      </c>
      <c r="AL129" s="279">
        <f t="shared" ref="AL129:AW131" si="310">AL122*$D129*6</f>
        <v>451.83099604499995</v>
      </c>
      <c r="AM129" s="279">
        <f t="shared" si="310"/>
        <v>480.37408316074595</v>
      </c>
      <c r="AN129" s="279">
        <f t="shared" si="310"/>
        <v>677.74649406750018</v>
      </c>
      <c r="AO129" s="279">
        <f t="shared" si="310"/>
        <v>801.63563814435497</v>
      </c>
      <c r="AP129" s="279">
        <f t="shared" si="310"/>
        <v>903.6619920899999</v>
      </c>
      <c r="AQ129" s="279">
        <f t="shared" si="310"/>
        <v>801.63563814435497</v>
      </c>
      <c r="AR129" s="279">
        <f t="shared" si="310"/>
        <v>753.05166007500009</v>
      </c>
      <c r="AS129" s="279">
        <f t="shared" si="310"/>
        <v>941.31457509375002</v>
      </c>
      <c r="AT129" s="279">
        <f t="shared" si="310"/>
        <v>910.94958880040326</v>
      </c>
      <c r="AU129" s="279">
        <f t="shared" si="310"/>
        <v>903.6619920899999</v>
      </c>
      <c r="AV129" s="279">
        <f t="shared" si="310"/>
        <v>655.88370393629043</v>
      </c>
      <c r="AW129" s="279">
        <f t="shared" si="310"/>
        <v>602.44132806000005</v>
      </c>
      <c r="AX129" s="293">
        <f t="shared" si="303"/>
        <v>8884.1876897073998</v>
      </c>
      <c r="AY129" s="279">
        <f t="shared" ref="AY129:BJ131" si="311">AY122*$E129*6</f>
        <v>474.42254584725003</v>
      </c>
      <c r="AZ129" s="279">
        <f t="shared" si="311"/>
        <v>504.39278731878323</v>
      </c>
      <c r="BA129" s="279">
        <f t="shared" si="311"/>
        <v>711.63381877087522</v>
      </c>
      <c r="BB129" s="279">
        <f t="shared" si="311"/>
        <v>841.71742005157284</v>
      </c>
      <c r="BC129" s="279">
        <f t="shared" si="311"/>
        <v>948.84509169450007</v>
      </c>
      <c r="BD129" s="279">
        <f t="shared" si="311"/>
        <v>841.71742005157284</v>
      </c>
      <c r="BE129" s="279">
        <f t="shared" si="311"/>
        <v>790.70424307875021</v>
      </c>
      <c r="BF129" s="279">
        <f t="shared" si="311"/>
        <v>988.38030384843751</v>
      </c>
      <c r="BG129" s="279">
        <f t="shared" si="311"/>
        <v>956.49706824042369</v>
      </c>
      <c r="BH129" s="279">
        <f t="shared" si="311"/>
        <v>948.84509169450007</v>
      </c>
      <c r="BI129" s="279">
        <f t="shared" si="311"/>
        <v>688.67788913310494</v>
      </c>
      <c r="BJ129" s="279">
        <f t="shared" si="311"/>
        <v>632.56339446300012</v>
      </c>
      <c r="BK129" s="293">
        <f t="shared" si="305"/>
        <v>9328.3970741927715</v>
      </c>
      <c r="BL129" s="279">
        <f t="shared" ref="BL129:BW131" si="312">BL122*$F129*6</f>
        <v>518.06942006519716</v>
      </c>
      <c r="BM129" s="279">
        <f t="shared" si="312"/>
        <v>550.79692375211141</v>
      </c>
      <c r="BN129" s="279">
        <f t="shared" si="312"/>
        <v>777.10413009779575</v>
      </c>
      <c r="BO129" s="279">
        <f t="shared" si="312"/>
        <v>919.15542269631737</v>
      </c>
      <c r="BP129" s="279">
        <f t="shared" si="312"/>
        <v>1036.1388401303943</v>
      </c>
      <c r="BQ129" s="279">
        <f t="shared" si="312"/>
        <v>919.15542269631737</v>
      </c>
      <c r="BR129" s="279">
        <f t="shared" si="312"/>
        <v>863.44903344199543</v>
      </c>
      <c r="BS129" s="279">
        <f t="shared" si="312"/>
        <v>1079.311291802494</v>
      </c>
      <c r="BT129" s="279">
        <f t="shared" si="312"/>
        <v>1044.4947985185427</v>
      </c>
      <c r="BU129" s="279">
        <f t="shared" si="312"/>
        <v>1036.1388401303943</v>
      </c>
      <c r="BV129" s="279">
        <f t="shared" si="312"/>
        <v>752.03625493335073</v>
      </c>
      <c r="BW129" s="279">
        <f t="shared" si="312"/>
        <v>690.75922675359618</v>
      </c>
      <c r="BX129" s="293">
        <f t="shared" si="307"/>
        <v>10186.609605018508</v>
      </c>
    </row>
    <row r="130" spans="2:76" ht="15.75" customHeight="1">
      <c r="B130" s="356">
        <v>162</v>
      </c>
      <c r="C130" s="272">
        <f>B130*(1+Assumptions!D$74)</f>
        <v>162</v>
      </c>
      <c r="D130" s="272">
        <f>C130*(1+Assumptions!E$74)</f>
        <v>168.48000000000002</v>
      </c>
      <c r="E130" s="272">
        <f>D130*(1+Assumptions!F$74)</f>
        <v>168.48000000000002</v>
      </c>
      <c r="F130" s="272">
        <f>E130*(1+Assumptions!G$74)</f>
        <v>175.21920000000003</v>
      </c>
      <c r="G130" s="106"/>
      <c r="H130" s="106"/>
      <c r="I130" s="92"/>
      <c r="J130" s="92" t="s">
        <v>575</v>
      </c>
      <c r="L130" s="279">
        <f t="shared" ref="L130:W130" si="313">L123*$B130*6</f>
        <v>94.037420089285717</v>
      </c>
      <c r="M130" s="279">
        <f t="shared" si="313"/>
        <v>99.977956035786292</v>
      </c>
      <c r="N130" s="279">
        <f t="shared" si="313"/>
        <v>141.0561301339286</v>
      </c>
      <c r="O130" s="279">
        <f t="shared" si="313"/>
        <v>166.84058402937794</v>
      </c>
      <c r="P130" s="279">
        <f t="shared" si="313"/>
        <v>188.07484017857143</v>
      </c>
      <c r="Q130" s="279">
        <f t="shared" si="313"/>
        <v>166.84058402937794</v>
      </c>
      <c r="R130" s="279">
        <f t="shared" si="313"/>
        <v>156.72903348214288</v>
      </c>
      <c r="S130" s="279">
        <f t="shared" si="313"/>
        <v>195.91129185267863</v>
      </c>
      <c r="T130" s="279">
        <f t="shared" si="313"/>
        <v>189.59157276065667</v>
      </c>
      <c r="U130" s="279">
        <f t="shared" si="313"/>
        <v>188.07484017857143</v>
      </c>
      <c r="V130" s="279">
        <f t="shared" si="313"/>
        <v>136.50593238767283</v>
      </c>
      <c r="W130" s="279">
        <f t="shared" si="313"/>
        <v>125.38322678571433</v>
      </c>
      <c r="X130" s="293">
        <f t="shared" si="299"/>
        <v>1849.0234119437646</v>
      </c>
      <c r="Y130" s="279">
        <f t="shared" si="309"/>
        <v>108.14303310267857</v>
      </c>
      <c r="Z130" s="279">
        <f t="shared" si="309"/>
        <v>114.97464944115423</v>
      </c>
      <c r="AA130" s="279">
        <f t="shared" si="309"/>
        <v>162.21454965401787</v>
      </c>
      <c r="AB130" s="279">
        <f t="shared" si="309"/>
        <v>191.86667163378462</v>
      </c>
      <c r="AC130" s="279">
        <f t="shared" si="309"/>
        <v>216.28606620535714</v>
      </c>
      <c r="AD130" s="279">
        <f t="shared" si="309"/>
        <v>191.86667163378462</v>
      </c>
      <c r="AE130" s="279">
        <f t="shared" si="309"/>
        <v>180.2383885044643</v>
      </c>
      <c r="AF130" s="279">
        <f t="shared" si="309"/>
        <v>225.2979856305804</v>
      </c>
      <c r="AG130" s="279">
        <f t="shared" si="309"/>
        <v>218.03030867475516</v>
      </c>
      <c r="AH130" s="279">
        <f t="shared" si="309"/>
        <v>216.28606620535714</v>
      </c>
      <c r="AI130" s="279">
        <f t="shared" si="309"/>
        <v>156.98182224582374</v>
      </c>
      <c r="AJ130" s="279">
        <f t="shared" si="309"/>
        <v>144.19071080357145</v>
      </c>
      <c r="AK130" s="293">
        <f t="shared" si="301"/>
        <v>2126.376923735329</v>
      </c>
      <c r="AL130" s="279">
        <f t="shared" si="310"/>
        <v>123.71562986946431</v>
      </c>
      <c r="AM130" s="279">
        <f t="shared" si="310"/>
        <v>131.53099896068048</v>
      </c>
      <c r="AN130" s="279">
        <f t="shared" si="310"/>
        <v>185.57344480419647</v>
      </c>
      <c r="AO130" s="279">
        <f t="shared" si="310"/>
        <v>219.49547234904958</v>
      </c>
      <c r="AP130" s="279">
        <f t="shared" si="310"/>
        <v>247.43125973892862</v>
      </c>
      <c r="AQ130" s="279">
        <f t="shared" si="310"/>
        <v>219.49547234904958</v>
      </c>
      <c r="AR130" s="279">
        <f t="shared" si="310"/>
        <v>206.19271644910714</v>
      </c>
      <c r="AS130" s="279">
        <f t="shared" si="310"/>
        <v>257.74089556138398</v>
      </c>
      <c r="AT130" s="279">
        <f t="shared" si="310"/>
        <v>249.42667312391998</v>
      </c>
      <c r="AU130" s="279">
        <f t="shared" si="310"/>
        <v>247.43125973892862</v>
      </c>
      <c r="AV130" s="279">
        <f t="shared" si="310"/>
        <v>179.58720464922243</v>
      </c>
      <c r="AW130" s="279">
        <f t="shared" si="310"/>
        <v>164.95417315928574</v>
      </c>
      <c r="AX130" s="293">
        <f t="shared" si="303"/>
        <v>2432.5752007532169</v>
      </c>
      <c r="AY130" s="279">
        <f t="shared" si="311"/>
        <v>129.90141136293749</v>
      </c>
      <c r="AZ130" s="279">
        <f t="shared" si="311"/>
        <v>138.10754890871448</v>
      </c>
      <c r="BA130" s="279">
        <f t="shared" si="311"/>
        <v>194.85211704440633</v>
      </c>
      <c r="BB130" s="279">
        <f t="shared" si="311"/>
        <v>230.47024596650215</v>
      </c>
      <c r="BC130" s="279">
        <f t="shared" si="311"/>
        <v>259.80282272587499</v>
      </c>
      <c r="BD130" s="279">
        <f t="shared" si="311"/>
        <v>230.47024596650215</v>
      </c>
      <c r="BE130" s="279">
        <f t="shared" si="311"/>
        <v>216.50235227156253</v>
      </c>
      <c r="BF130" s="279">
        <f t="shared" si="311"/>
        <v>270.62794033945318</v>
      </c>
      <c r="BG130" s="279">
        <f t="shared" si="311"/>
        <v>261.89800678011591</v>
      </c>
      <c r="BH130" s="279">
        <f t="shared" si="311"/>
        <v>259.80282272587499</v>
      </c>
      <c r="BI130" s="279">
        <f t="shared" si="311"/>
        <v>188.56656488168355</v>
      </c>
      <c r="BJ130" s="279">
        <f t="shared" si="311"/>
        <v>173.20188181725007</v>
      </c>
      <c r="BK130" s="293">
        <f t="shared" si="305"/>
        <v>2554.2039607908778</v>
      </c>
      <c r="BL130" s="279">
        <f t="shared" si="312"/>
        <v>141.8523412083278</v>
      </c>
      <c r="BM130" s="279">
        <f t="shared" si="312"/>
        <v>150.81344340831623</v>
      </c>
      <c r="BN130" s="279">
        <f t="shared" si="312"/>
        <v>212.77851181249173</v>
      </c>
      <c r="BO130" s="279">
        <f t="shared" si="312"/>
        <v>251.67350859542034</v>
      </c>
      <c r="BP130" s="279">
        <f t="shared" si="312"/>
        <v>283.7046824166556</v>
      </c>
      <c r="BQ130" s="279">
        <f t="shared" si="312"/>
        <v>251.67350859542034</v>
      </c>
      <c r="BR130" s="279">
        <f t="shared" si="312"/>
        <v>236.42056868054624</v>
      </c>
      <c r="BS130" s="279">
        <f t="shared" si="312"/>
        <v>295.52571085068297</v>
      </c>
      <c r="BT130" s="279">
        <f t="shared" si="312"/>
        <v>285.99262340388663</v>
      </c>
      <c r="BU130" s="279">
        <f t="shared" si="312"/>
        <v>283.7046824166556</v>
      </c>
      <c r="BV130" s="279">
        <f t="shared" si="312"/>
        <v>205.91468885079848</v>
      </c>
      <c r="BW130" s="279">
        <f t="shared" si="312"/>
        <v>189.13645494443711</v>
      </c>
      <c r="BX130" s="293">
        <f t="shared" si="307"/>
        <v>2789.1907251836387</v>
      </c>
    </row>
    <row r="131" spans="2:76" ht="15.75" customHeight="1">
      <c r="B131" s="356">
        <v>162</v>
      </c>
      <c r="C131" s="272">
        <f>B131*(1+Assumptions!D$74)</f>
        <v>162</v>
      </c>
      <c r="D131" s="272">
        <f>C131*(1+Assumptions!E$74)</f>
        <v>168.48000000000002</v>
      </c>
      <c r="E131" s="272">
        <f>D131*(1+Assumptions!F$74)</f>
        <v>168.48000000000002</v>
      </c>
      <c r="F131" s="272">
        <f>E131*(1+Assumptions!G$74)</f>
        <v>175.21920000000003</v>
      </c>
      <c r="G131" s="106"/>
      <c r="H131" s="106"/>
      <c r="I131" s="92"/>
      <c r="J131" s="92" t="s">
        <v>577</v>
      </c>
      <c r="L131" s="279">
        <f t="shared" ref="L131:W131" si="314">L124*$B131*6</f>
        <v>47.018710044642859</v>
      </c>
      <c r="M131" s="279">
        <f t="shared" si="314"/>
        <v>49.988978017893146</v>
      </c>
      <c r="N131" s="279">
        <f t="shared" si="314"/>
        <v>70.528065066964302</v>
      </c>
      <c r="O131" s="279">
        <f t="shared" si="314"/>
        <v>83.420292014688968</v>
      </c>
      <c r="P131" s="279">
        <f t="shared" si="314"/>
        <v>94.037420089285717</v>
      </c>
      <c r="Q131" s="279">
        <f t="shared" si="314"/>
        <v>83.420292014688968</v>
      </c>
      <c r="R131" s="279">
        <f t="shared" si="314"/>
        <v>78.364516741071441</v>
      </c>
      <c r="S131" s="279">
        <f t="shared" si="314"/>
        <v>97.955645926339315</v>
      </c>
      <c r="T131" s="279">
        <f t="shared" si="314"/>
        <v>94.795786380328337</v>
      </c>
      <c r="U131" s="279">
        <f t="shared" si="314"/>
        <v>94.037420089285717</v>
      </c>
      <c r="V131" s="279">
        <f t="shared" si="314"/>
        <v>68.252966193836414</v>
      </c>
      <c r="W131" s="279">
        <f t="shared" si="314"/>
        <v>62.691613392857164</v>
      </c>
      <c r="X131" s="293">
        <f t="shared" si="299"/>
        <v>924.51170597188229</v>
      </c>
      <c r="Y131" s="279">
        <f t="shared" si="309"/>
        <v>54.071516551339286</v>
      </c>
      <c r="Z131" s="279">
        <f t="shared" si="309"/>
        <v>57.487324720577114</v>
      </c>
      <c r="AA131" s="279">
        <f t="shared" si="309"/>
        <v>81.107274827008936</v>
      </c>
      <c r="AB131" s="279">
        <f t="shared" si="309"/>
        <v>95.93333581689231</v>
      </c>
      <c r="AC131" s="279">
        <f t="shared" si="309"/>
        <v>108.14303310267857</v>
      </c>
      <c r="AD131" s="279">
        <f t="shared" si="309"/>
        <v>95.93333581689231</v>
      </c>
      <c r="AE131" s="279">
        <f t="shared" si="309"/>
        <v>90.119194252232148</v>
      </c>
      <c r="AF131" s="279">
        <f t="shared" si="309"/>
        <v>112.6489928152902</v>
      </c>
      <c r="AG131" s="279">
        <f t="shared" si="309"/>
        <v>109.01515433737758</v>
      </c>
      <c r="AH131" s="279">
        <f t="shared" si="309"/>
        <v>108.14303310267857</v>
      </c>
      <c r="AI131" s="279">
        <f t="shared" si="309"/>
        <v>78.490911122911868</v>
      </c>
      <c r="AJ131" s="279">
        <f t="shared" si="309"/>
        <v>72.095355401785724</v>
      </c>
      <c r="AK131" s="293">
        <f t="shared" si="301"/>
        <v>1063.1884618676645</v>
      </c>
      <c r="AL131" s="279">
        <f t="shared" si="310"/>
        <v>61.857814934732154</v>
      </c>
      <c r="AM131" s="279">
        <f t="shared" si="310"/>
        <v>65.765499480340239</v>
      </c>
      <c r="AN131" s="279">
        <f t="shared" si="310"/>
        <v>92.786722402098235</v>
      </c>
      <c r="AO131" s="279">
        <f t="shared" si="310"/>
        <v>109.74773617452479</v>
      </c>
      <c r="AP131" s="279">
        <f t="shared" si="310"/>
        <v>123.71562986946431</v>
      </c>
      <c r="AQ131" s="279">
        <f t="shared" si="310"/>
        <v>109.74773617452479</v>
      </c>
      <c r="AR131" s="279">
        <f t="shared" si="310"/>
        <v>103.09635822455357</v>
      </c>
      <c r="AS131" s="279">
        <f t="shared" si="310"/>
        <v>128.87044778069199</v>
      </c>
      <c r="AT131" s="279">
        <f t="shared" si="310"/>
        <v>124.71333656195999</v>
      </c>
      <c r="AU131" s="279">
        <f t="shared" si="310"/>
        <v>123.71562986946431</v>
      </c>
      <c r="AV131" s="279">
        <f t="shared" si="310"/>
        <v>89.793602324611214</v>
      </c>
      <c r="AW131" s="279">
        <f t="shared" si="310"/>
        <v>82.477086579642872</v>
      </c>
      <c r="AX131" s="293">
        <f t="shared" si="303"/>
        <v>1216.2876003766085</v>
      </c>
      <c r="AY131" s="279">
        <f t="shared" si="311"/>
        <v>64.950705681468747</v>
      </c>
      <c r="AZ131" s="279">
        <f t="shared" si="311"/>
        <v>69.053774454357239</v>
      </c>
      <c r="BA131" s="279">
        <f t="shared" si="311"/>
        <v>97.426058522203164</v>
      </c>
      <c r="BB131" s="279">
        <f t="shared" si="311"/>
        <v>115.23512298325107</v>
      </c>
      <c r="BC131" s="279">
        <f t="shared" si="311"/>
        <v>129.90141136293749</v>
      </c>
      <c r="BD131" s="279">
        <f t="shared" si="311"/>
        <v>115.23512298325107</v>
      </c>
      <c r="BE131" s="279">
        <f t="shared" si="311"/>
        <v>108.25117613578126</v>
      </c>
      <c r="BF131" s="279">
        <f t="shared" si="311"/>
        <v>135.31397016972659</v>
      </c>
      <c r="BG131" s="279">
        <f t="shared" si="311"/>
        <v>130.94900339005795</v>
      </c>
      <c r="BH131" s="279">
        <f t="shared" si="311"/>
        <v>129.90141136293749</v>
      </c>
      <c r="BI131" s="279">
        <f t="shared" si="311"/>
        <v>94.283282440841774</v>
      </c>
      <c r="BJ131" s="279">
        <f t="shared" si="311"/>
        <v>86.600940908625034</v>
      </c>
      <c r="BK131" s="293">
        <f t="shared" si="305"/>
        <v>1277.1019803954389</v>
      </c>
      <c r="BL131" s="279">
        <f t="shared" si="312"/>
        <v>70.9261706041639</v>
      </c>
      <c r="BM131" s="279">
        <f t="shared" si="312"/>
        <v>75.406721704158116</v>
      </c>
      <c r="BN131" s="279">
        <f t="shared" si="312"/>
        <v>106.38925590624586</v>
      </c>
      <c r="BO131" s="279">
        <f t="shared" si="312"/>
        <v>125.83675429771017</v>
      </c>
      <c r="BP131" s="279">
        <f t="shared" si="312"/>
        <v>141.8523412083278</v>
      </c>
      <c r="BQ131" s="279">
        <f t="shared" si="312"/>
        <v>125.83675429771017</v>
      </c>
      <c r="BR131" s="279">
        <f t="shared" si="312"/>
        <v>118.21028434027312</v>
      </c>
      <c r="BS131" s="279">
        <f t="shared" si="312"/>
        <v>147.76285542534148</v>
      </c>
      <c r="BT131" s="279">
        <f t="shared" si="312"/>
        <v>142.99631170194331</v>
      </c>
      <c r="BU131" s="279">
        <f t="shared" si="312"/>
        <v>141.8523412083278</v>
      </c>
      <c r="BV131" s="279">
        <f t="shared" si="312"/>
        <v>102.95734442539924</v>
      </c>
      <c r="BW131" s="279">
        <f t="shared" si="312"/>
        <v>94.568227472218553</v>
      </c>
      <c r="BX131" s="293">
        <f t="shared" si="307"/>
        <v>1394.5953625918194</v>
      </c>
    </row>
    <row r="132" spans="2:76" ht="15.75" customHeight="1">
      <c r="L132" s="279">
        <f>SUM(L128:L131)</f>
        <v>693.67109263392854</v>
      </c>
      <c r="M132" s="279">
        <f t="shared" ref="M132:X132" si="315">SUM(M128:M131)</f>
        <v>737.49171273311481</v>
      </c>
      <c r="N132" s="279">
        <f t="shared" si="315"/>
        <v>1040.5066389508929</v>
      </c>
      <c r="O132" s="279">
        <f t="shared" si="315"/>
        <v>1230.7067772537446</v>
      </c>
      <c r="P132" s="279">
        <f t="shared" si="315"/>
        <v>1387.3421852678571</v>
      </c>
      <c r="Q132" s="279">
        <f t="shared" si="315"/>
        <v>1230.7067772537446</v>
      </c>
      <c r="R132" s="279">
        <f t="shared" si="315"/>
        <v>1156.1184877232145</v>
      </c>
      <c r="S132" s="279">
        <f t="shared" si="315"/>
        <v>1445.1481096540181</v>
      </c>
      <c r="T132" s="279">
        <f t="shared" si="315"/>
        <v>1398.5304286974367</v>
      </c>
      <c r="U132" s="279">
        <f t="shared" si="315"/>
        <v>1387.3421852678571</v>
      </c>
      <c r="V132" s="279">
        <f t="shared" si="315"/>
        <v>1006.9419086621546</v>
      </c>
      <c r="W132" s="279">
        <f t="shared" si="315"/>
        <v>924.89479017857161</v>
      </c>
      <c r="X132" s="279">
        <f t="shared" si="315"/>
        <v>13639.401094276534</v>
      </c>
      <c r="Y132" s="279">
        <f>SUM(Y128:Y131)</f>
        <v>797.72175652901785</v>
      </c>
      <c r="Z132" s="279">
        <f t="shared" ref="Z132" si="316">SUM(Z128:Z131)</f>
        <v>848.11546964308218</v>
      </c>
      <c r="AA132" s="279">
        <f t="shared" ref="AA132" si="317">SUM(AA128:AA131)</f>
        <v>1196.5826347935269</v>
      </c>
      <c r="AB132" s="279">
        <f t="shared" ref="AB132" si="318">SUM(AB128:AB131)</f>
        <v>1415.3127938418061</v>
      </c>
      <c r="AC132" s="279">
        <f t="shared" ref="AC132" si="319">SUM(AC128:AC131)</f>
        <v>1595.4435130580357</v>
      </c>
      <c r="AD132" s="279">
        <f t="shared" ref="AD132" si="320">SUM(AD128:AD131)</f>
        <v>1415.3127938418061</v>
      </c>
      <c r="AE132" s="279">
        <f t="shared" ref="AE132" si="321">SUM(AE128:AE131)</f>
        <v>1329.5362608816965</v>
      </c>
      <c r="AF132" s="279">
        <f t="shared" ref="AF132" si="322">SUM(AF128:AF131)</f>
        <v>1661.9203261021205</v>
      </c>
      <c r="AG132" s="279">
        <f t="shared" ref="AG132" si="323">SUM(AG128:AG131)</f>
        <v>1608.3099930020519</v>
      </c>
      <c r="AH132" s="279">
        <f t="shared" ref="AH132" si="324">SUM(AH128:AH131)</f>
        <v>1595.4435130580357</v>
      </c>
      <c r="AI132" s="279">
        <f t="shared" ref="AI132" si="325">SUM(AI128:AI131)</f>
        <v>1157.9831949614775</v>
      </c>
      <c r="AJ132" s="279">
        <f t="shared" ref="AJ132" si="326">SUM(AJ128:AJ131)</f>
        <v>1063.6290087053571</v>
      </c>
      <c r="AK132" s="279">
        <f t="shared" ref="AK132" si="327">SUM(AK128:AK131)</f>
        <v>15685.311258418014</v>
      </c>
      <c r="AL132" s="279">
        <f>SUM(AL128:AL131)</f>
        <v>912.59368946919642</v>
      </c>
      <c r="AM132" s="279">
        <f t="shared" ref="AM132" si="328">SUM(AM128:AM131)</f>
        <v>970.24409727168609</v>
      </c>
      <c r="AN132" s="279">
        <f t="shared" ref="AN132" si="329">SUM(AN128:AN131)</f>
        <v>1368.8905342037951</v>
      </c>
      <c r="AO132" s="279">
        <f t="shared" ref="AO132" si="330">SUM(AO128:AO131)</f>
        <v>1619.1178361550262</v>
      </c>
      <c r="AP132" s="279">
        <f t="shared" ref="AP132" si="331">SUM(AP128:AP131)</f>
        <v>1825.1873789383928</v>
      </c>
      <c r="AQ132" s="279">
        <f t="shared" ref="AQ132" si="332">SUM(AQ128:AQ131)</f>
        <v>1619.1178361550262</v>
      </c>
      <c r="AR132" s="279">
        <f t="shared" ref="AR132" si="333">SUM(AR128:AR131)</f>
        <v>1520.9894824486607</v>
      </c>
      <c r="AS132" s="279">
        <f t="shared" ref="AS132" si="334">SUM(AS128:AS131)</f>
        <v>1901.2368530608262</v>
      </c>
      <c r="AT132" s="279">
        <f t="shared" ref="AT132" si="335">SUM(AT128:AT131)</f>
        <v>1839.9066319943477</v>
      </c>
      <c r="AU132" s="279">
        <f t="shared" ref="AU132" si="336">SUM(AU128:AU131)</f>
        <v>1825.1873789383928</v>
      </c>
      <c r="AV132" s="279">
        <f t="shared" ref="AV132" si="337">SUM(AV128:AV131)</f>
        <v>1324.7327750359307</v>
      </c>
      <c r="AW132" s="279">
        <f t="shared" ref="AW132" si="338">SUM(AW128:AW131)</f>
        <v>1216.7915859589289</v>
      </c>
      <c r="AX132" s="279">
        <f t="shared" ref="AX132" si="339">SUM(AX128:AX131)</f>
        <v>17943.996079630208</v>
      </c>
      <c r="AY132" s="279">
        <f>SUM(AY128:AY131)</f>
        <v>958.22337394265639</v>
      </c>
      <c r="AZ132" s="279">
        <f t="shared" ref="AZ132" si="340">SUM(AZ128:AZ131)</f>
        <v>1018.7563021352704</v>
      </c>
      <c r="BA132" s="279">
        <f t="shared" ref="BA132" si="341">SUM(BA128:BA131)</f>
        <v>1437.3350609139848</v>
      </c>
      <c r="BB132" s="279">
        <f t="shared" ref="BB132" si="342">SUM(BB128:BB131)</f>
        <v>1700.0737279627779</v>
      </c>
      <c r="BC132" s="279">
        <f t="shared" ref="BC132" si="343">SUM(BC128:BC131)</f>
        <v>1916.4467478853128</v>
      </c>
      <c r="BD132" s="279">
        <f t="shared" ref="BD132" si="344">SUM(BD128:BD131)</f>
        <v>1700.0737279627779</v>
      </c>
      <c r="BE132" s="279">
        <f t="shared" ref="BE132" si="345">SUM(BE128:BE131)</f>
        <v>1597.0389565710939</v>
      </c>
      <c r="BF132" s="279">
        <f t="shared" ref="BF132" si="346">SUM(BF128:BF131)</f>
        <v>1996.2986957138676</v>
      </c>
      <c r="BG132" s="279">
        <f t="shared" ref="BG132" si="347">SUM(BG128:BG131)</f>
        <v>1931.9019635940654</v>
      </c>
      <c r="BH132" s="279">
        <f t="shared" ref="BH132" si="348">SUM(BH128:BH131)</f>
        <v>1916.4467478853128</v>
      </c>
      <c r="BI132" s="279">
        <f t="shared" ref="BI132" si="349">SUM(BI128:BI131)</f>
        <v>1390.969413787727</v>
      </c>
      <c r="BJ132" s="279">
        <f t="shared" ref="BJ132" si="350">SUM(BJ128:BJ131)</f>
        <v>1277.6311652568754</v>
      </c>
      <c r="BK132" s="279">
        <f t="shared" ref="BK132" si="351">SUM(BK128:BK131)</f>
        <v>18841.195883611723</v>
      </c>
      <c r="BL132" s="279">
        <f>SUM(BL128:BL131)</f>
        <v>1046.3799243453809</v>
      </c>
      <c r="BM132" s="279">
        <f t="shared" ref="BM132" si="352">SUM(BM128:BM131)</f>
        <v>1112.4818819317154</v>
      </c>
      <c r="BN132" s="279">
        <f t="shared" ref="BN132" si="353">SUM(BN128:BN131)</f>
        <v>1569.5698865180714</v>
      </c>
      <c r="BO132" s="279">
        <f t="shared" ref="BO132" si="354">SUM(BO128:BO131)</f>
        <v>1856.4805109353533</v>
      </c>
      <c r="BP132" s="279">
        <f t="shared" ref="BP132" si="355">SUM(BP128:BP131)</f>
        <v>2092.7598486907618</v>
      </c>
      <c r="BQ132" s="279">
        <f t="shared" ref="BQ132" si="356">SUM(BQ128:BQ131)</f>
        <v>1856.4805109353533</v>
      </c>
      <c r="BR132" s="279">
        <f t="shared" ref="BR132" si="357">SUM(BR128:BR131)</f>
        <v>1743.9665405756348</v>
      </c>
      <c r="BS132" s="279">
        <f t="shared" ref="BS132" si="358">SUM(BS128:BS131)</f>
        <v>2179.9581757195438</v>
      </c>
      <c r="BT132" s="279">
        <f t="shared" ref="BT132" si="359">SUM(BT128:BT131)</f>
        <v>2109.6369442447194</v>
      </c>
      <c r="BU132" s="279">
        <f t="shared" ref="BU132" si="360">SUM(BU128:BU131)</f>
        <v>2092.7598486907618</v>
      </c>
      <c r="BV132" s="279">
        <f t="shared" ref="BV132" si="361">SUM(BV128:BV131)</f>
        <v>1518.9385998561984</v>
      </c>
      <c r="BW132" s="279">
        <f t="shared" ref="BW132" si="362">SUM(BW128:BW131)</f>
        <v>1395.1732324605077</v>
      </c>
      <c r="BX132" s="279">
        <f t="shared" ref="BX132" si="363">SUM(BX128:BX131)</f>
        <v>20574.585904904001</v>
      </c>
    </row>
    <row r="133" spans="2:76" ht="15.75" customHeight="1"/>
    <row r="134" spans="2:76" ht="15.75" customHeight="1"/>
    <row r="135" spans="2:76" ht="15.75" customHeight="1"/>
    <row r="136" spans="2:76" ht="15.75" customHeight="1"/>
    <row r="137" spans="2:76" ht="15.75" customHeight="1"/>
    <row r="138" spans="2:76" ht="15.75" customHeight="1"/>
    <row r="139" spans="2:76" ht="15.75" customHeight="1"/>
    <row r="140" spans="2:76" ht="15.75" customHeight="1"/>
    <row r="141" spans="2:76" ht="15.75" customHeight="1"/>
    <row r="142" spans="2:76" ht="15.75" customHeight="1"/>
    <row r="143" spans="2:76" ht="15.75" customHeight="1"/>
    <row r="144" spans="2:76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</sheetData>
  <sheetProtection sheet="1" objects="1" scenarios="1"/>
  <protectedRanges>
    <protectedRange sqref="B10:F10" name="Range4"/>
    <protectedRange sqref="B128:B131" name="Range2"/>
    <protectedRange sqref="I15:J27 I31:I43 B15:G27 B31:F43 C128:F131" name="Range1"/>
    <protectedRange sqref="B122:F122" name="Range3"/>
  </protectedRanges>
  <conditionalFormatting sqref="I28">
    <cfRule type="cellIs" dxfId="3" priority="3" operator="notEqual">
      <formula>1</formula>
    </cfRule>
    <cfRule type="cellIs" dxfId="2" priority="4" operator="equal">
      <formula>1</formula>
    </cfRule>
  </conditionalFormatting>
  <conditionalFormatting sqref="I44">
    <cfRule type="cellIs" dxfId="1" priority="1" operator="notEqual">
      <formula>1</formula>
    </cfRule>
    <cfRule type="cellIs" dxfId="0" priority="2" operator="equal">
      <formula>1</formula>
    </cfRule>
  </conditionalFormatting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X980"/>
  <sheetViews>
    <sheetView workbookViewId="0">
      <pane xSplit="10" ySplit="6" topLeftCell="K13" activePane="bottomRight" state="frozen"/>
      <selection pane="topRight" activeCell="G1" sqref="G1"/>
      <selection pane="bottomLeft" activeCell="A7" sqref="A7"/>
      <selection pane="bottomRight" activeCell="A18" sqref="A18"/>
    </sheetView>
  </sheetViews>
  <sheetFormatPr defaultColWidth="14.453125" defaultRowHeight="15" customHeight="1"/>
  <cols>
    <col min="1" max="1" width="13.26953125" customWidth="1"/>
    <col min="2" max="5" width="11.1796875" hidden="1" customWidth="1"/>
    <col min="6" max="6" width="8.453125" customWidth="1"/>
    <col min="7" max="7" width="8.54296875" customWidth="1"/>
    <col min="8" max="9" width="9.1796875" customWidth="1"/>
    <col min="10" max="10" width="19.54296875" customWidth="1"/>
    <col min="11" max="22" width="10.54296875" bestFit="1" customWidth="1"/>
    <col min="23" max="23" width="11.54296875" style="264" bestFit="1" customWidth="1"/>
    <col min="24" max="24" width="10.54296875" style="303" bestFit="1" customWidth="1"/>
    <col min="25" max="35" width="10.54296875" bestFit="1" customWidth="1"/>
    <col min="36" max="36" width="11.54296875" bestFit="1" customWidth="1"/>
    <col min="37" max="48" width="10.54296875" bestFit="1" customWidth="1"/>
    <col min="49" max="49" width="11.54296875" bestFit="1" customWidth="1"/>
    <col min="50" max="61" width="10.54296875" bestFit="1" customWidth="1"/>
    <col min="62" max="62" width="11.54296875" bestFit="1" customWidth="1"/>
    <col min="63" max="74" width="10.54296875" bestFit="1" customWidth="1"/>
    <col min="75" max="75" width="11.54296875" bestFit="1" customWidth="1"/>
    <col min="76" max="76" width="12.54296875" bestFit="1" customWidth="1"/>
  </cols>
  <sheetData>
    <row r="1" spans="1:76" ht="14.5">
      <c r="A1" s="1" t="str">
        <f>Assumptions!A1</f>
        <v>Central Brewing Company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57"/>
      <c r="X1" s="30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</row>
    <row r="2" spans="1:76" ht="14.5">
      <c r="A2" s="2" t="s">
        <v>244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57"/>
      <c r="X2" s="30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</row>
    <row r="3" spans="1:76" ht="15.75" customHeight="1" thickBot="1">
      <c r="A3" s="114" t="s">
        <v>245</v>
      </c>
      <c r="B3" s="114"/>
      <c r="C3" s="114"/>
      <c r="D3" s="114"/>
      <c r="E3" s="114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313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2"/>
    </row>
    <row r="4" spans="1:76" ht="14.5">
      <c r="A4" s="63"/>
      <c r="B4" s="63"/>
      <c r="C4" s="63"/>
      <c r="D4" s="63"/>
      <c r="E4" s="63"/>
      <c r="F4" s="11"/>
      <c r="G4" s="11"/>
      <c r="H4" s="11"/>
      <c r="I4" s="11"/>
      <c r="J4" s="11"/>
      <c r="K4" s="31"/>
      <c r="L4" s="32"/>
      <c r="M4" s="32"/>
      <c r="N4" s="32"/>
      <c r="O4" s="32"/>
      <c r="P4" s="32"/>
      <c r="Q4" s="33" t="s">
        <v>98</v>
      </c>
      <c r="R4" s="32"/>
      <c r="S4" s="32"/>
      <c r="T4" s="32"/>
      <c r="U4" s="32"/>
      <c r="V4" s="32"/>
      <c r="W4" s="311"/>
      <c r="X4" s="314"/>
      <c r="Y4" s="32"/>
      <c r="Z4" s="32"/>
      <c r="AA4" s="32"/>
      <c r="AB4" s="32"/>
      <c r="AC4" s="32"/>
      <c r="AD4" s="33" t="s">
        <v>99</v>
      </c>
      <c r="AE4" s="32"/>
      <c r="AF4" s="32"/>
      <c r="AG4" s="32"/>
      <c r="AH4" s="32"/>
      <c r="AI4" s="32"/>
      <c r="AJ4" s="34"/>
      <c r="AK4" s="31"/>
      <c r="AL4" s="32"/>
      <c r="AM4" s="32"/>
      <c r="AN4" s="32"/>
      <c r="AO4" s="32"/>
      <c r="AP4" s="32"/>
      <c r="AQ4" s="33" t="s">
        <v>100</v>
      </c>
      <c r="AR4" s="32"/>
      <c r="AS4" s="32"/>
      <c r="AT4" s="32"/>
      <c r="AU4" s="32"/>
      <c r="AV4" s="32"/>
      <c r="AW4" s="34"/>
      <c r="AX4" s="31"/>
      <c r="AY4" s="32"/>
      <c r="AZ4" s="32"/>
      <c r="BA4" s="32"/>
      <c r="BB4" s="32"/>
      <c r="BC4" s="32"/>
      <c r="BD4" s="33" t="s">
        <v>101</v>
      </c>
      <c r="BE4" s="32"/>
      <c r="BF4" s="32"/>
      <c r="BG4" s="32"/>
      <c r="BH4" s="32"/>
      <c r="BI4" s="32"/>
      <c r="BJ4" s="34"/>
      <c r="BK4" s="31"/>
      <c r="BL4" s="32"/>
      <c r="BM4" s="32"/>
      <c r="BN4" s="32"/>
      <c r="BO4" s="32"/>
      <c r="BP4" s="32"/>
      <c r="BQ4" s="33" t="s">
        <v>102</v>
      </c>
      <c r="BR4" s="32"/>
      <c r="BS4" s="32"/>
      <c r="BT4" s="32"/>
      <c r="BU4" s="32"/>
      <c r="BV4" s="32"/>
      <c r="BW4" s="34"/>
      <c r="BX4" s="2"/>
    </row>
    <row r="5" spans="1:76" ht="14.5">
      <c r="A5" s="1"/>
      <c r="B5" s="1"/>
      <c r="C5" s="1"/>
      <c r="D5" s="1"/>
      <c r="E5" s="1"/>
      <c r="F5" s="1"/>
      <c r="G5" s="1"/>
      <c r="H5" s="1"/>
      <c r="I5" s="1"/>
      <c r="J5" s="1"/>
      <c r="K5" s="35" t="str">
        <f>SOFP!F5</f>
        <v>Jan</v>
      </c>
      <c r="L5" s="35" t="str">
        <f>SOFP!G5</f>
        <v>Feb</v>
      </c>
      <c r="M5" s="35" t="str">
        <f>SOFP!H5</f>
        <v>Mar</v>
      </c>
      <c r="N5" s="35" t="str">
        <f>SOFP!I5</f>
        <v>Apr</v>
      </c>
      <c r="O5" s="35" t="str">
        <f>SOFP!J5</f>
        <v>May</v>
      </c>
      <c r="P5" s="35" t="str">
        <f>SOFP!K5</f>
        <v>Jun</v>
      </c>
      <c r="Q5" s="35" t="str">
        <f>SOFP!L5</f>
        <v>Jul</v>
      </c>
      <c r="R5" s="35" t="str">
        <f>SOFP!M5</f>
        <v>Aug</v>
      </c>
      <c r="S5" s="35" t="str">
        <f>SOFP!N5</f>
        <v>Sep</v>
      </c>
      <c r="T5" s="35" t="str">
        <f>SOFP!O5</f>
        <v>Oct</v>
      </c>
      <c r="U5" s="35" t="str">
        <f>SOFP!P5</f>
        <v>Nov</v>
      </c>
      <c r="V5" s="35" t="str">
        <f>SOFP!Q5</f>
        <v>Dec</v>
      </c>
      <c r="W5" s="260" t="s">
        <v>116</v>
      </c>
      <c r="X5" s="315" t="str">
        <f t="shared" ref="X5:AI5" si="0">K5</f>
        <v>Jan</v>
      </c>
      <c r="Y5" s="35" t="str">
        <f t="shared" si="0"/>
        <v>Feb</v>
      </c>
      <c r="Z5" s="35" t="str">
        <f t="shared" si="0"/>
        <v>Mar</v>
      </c>
      <c r="AA5" s="35" t="str">
        <f t="shared" si="0"/>
        <v>Apr</v>
      </c>
      <c r="AB5" s="35" t="str">
        <f t="shared" si="0"/>
        <v>May</v>
      </c>
      <c r="AC5" s="35" t="str">
        <f t="shared" si="0"/>
        <v>Jun</v>
      </c>
      <c r="AD5" s="35" t="str">
        <f t="shared" si="0"/>
        <v>Jul</v>
      </c>
      <c r="AE5" s="35" t="str">
        <f t="shared" si="0"/>
        <v>Aug</v>
      </c>
      <c r="AF5" s="35" t="str">
        <f t="shared" si="0"/>
        <v>Sep</v>
      </c>
      <c r="AG5" s="35" t="str">
        <f t="shared" si="0"/>
        <v>Oct</v>
      </c>
      <c r="AH5" s="35" t="str">
        <f t="shared" si="0"/>
        <v>Nov</v>
      </c>
      <c r="AI5" s="35" t="str">
        <f t="shared" si="0"/>
        <v>Dec</v>
      </c>
      <c r="AJ5" s="36" t="s">
        <v>116</v>
      </c>
      <c r="AK5" s="35" t="str">
        <f t="shared" ref="AK5:AV5" si="1">X5</f>
        <v>Jan</v>
      </c>
      <c r="AL5" s="35" t="str">
        <f t="shared" si="1"/>
        <v>Feb</v>
      </c>
      <c r="AM5" s="35" t="str">
        <f t="shared" si="1"/>
        <v>Mar</v>
      </c>
      <c r="AN5" s="35" t="str">
        <f t="shared" si="1"/>
        <v>Apr</v>
      </c>
      <c r="AO5" s="35" t="str">
        <f t="shared" si="1"/>
        <v>May</v>
      </c>
      <c r="AP5" s="35" t="str">
        <f t="shared" si="1"/>
        <v>Jun</v>
      </c>
      <c r="AQ5" s="35" t="str">
        <f t="shared" si="1"/>
        <v>Jul</v>
      </c>
      <c r="AR5" s="35" t="str">
        <f t="shared" si="1"/>
        <v>Aug</v>
      </c>
      <c r="AS5" s="35" t="str">
        <f t="shared" si="1"/>
        <v>Sep</v>
      </c>
      <c r="AT5" s="35" t="str">
        <f t="shared" si="1"/>
        <v>Oct</v>
      </c>
      <c r="AU5" s="35" t="str">
        <f t="shared" si="1"/>
        <v>Nov</v>
      </c>
      <c r="AV5" s="35" t="str">
        <f t="shared" si="1"/>
        <v>Dec</v>
      </c>
      <c r="AW5" s="36" t="s">
        <v>116</v>
      </c>
      <c r="AX5" s="35" t="str">
        <f t="shared" ref="AX5:BI5" si="2">AK5</f>
        <v>Jan</v>
      </c>
      <c r="AY5" s="35" t="str">
        <f t="shared" si="2"/>
        <v>Feb</v>
      </c>
      <c r="AZ5" s="35" t="str">
        <f t="shared" si="2"/>
        <v>Mar</v>
      </c>
      <c r="BA5" s="35" t="str">
        <f t="shared" si="2"/>
        <v>Apr</v>
      </c>
      <c r="BB5" s="35" t="str">
        <f t="shared" si="2"/>
        <v>May</v>
      </c>
      <c r="BC5" s="35" t="str">
        <f t="shared" si="2"/>
        <v>Jun</v>
      </c>
      <c r="BD5" s="35" t="str">
        <f t="shared" si="2"/>
        <v>Jul</v>
      </c>
      <c r="BE5" s="35" t="str">
        <f t="shared" si="2"/>
        <v>Aug</v>
      </c>
      <c r="BF5" s="35" t="str">
        <f t="shared" si="2"/>
        <v>Sep</v>
      </c>
      <c r="BG5" s="35" t="str">
        <f t="shared" si="2"/>
        <v>Oct</v>
      </c>
      <c r="BH5" s="35" t="str">
        <f t="shared" si="2"/>
        <v>Nov</v>
      </c>
      <c r="BI5" s="35" t="str">
        <f t="shared" si="2"/>
        <v>Dec</v>
      </c>
      <c r="BJ5" s="36" t="s">
        <v>116</v>
      </c>
      <c r="BK5" s="35" t="str">
        <f t="shared" ref="BK5:BV5" si="3">AX5</f>
        <v>Jan</v>
      </c>
      <c r="BL5" s="35" t="str">
        <f t="shared" si="3"/>
        <v>Feb</v>
      </c>
      <c r="BM5" s="35" t="str">
        <f t="shared" si="3"/>
        <v>Mar</v>
      </c>
      <c r="BN5" s="35" t="str">
        <f t="shared" si="3"/>
        <v>Apr</v>
      </c>
      <c r="BO5" s="35" t="str">
        <f t="shared" si="3"/>
        <v>May</v>
      </c>
      <c r="BP5" s="35" t="str">
        <f t="shared" si="3"/>
        <v>Jun</v>
      </c>
      <c r="BQ5" s="35" t="str">
        <f t="shared" si="3"/>
        <v>Jul</v>
      </c>
      <c r="BR5" s="35" t="str">
        <f t="shared" si="3"/>
        <v>Aug</v>
      </c>
      <c r="BS5" s="35" t="str">
        <f t="shared" si="3"/>
        <v>Sep</v>
      </c>
      <c r="BT5" s="35" t="str">
        <f t="shared" si="3"/>
        <v>Oct</v>
      </c>
      <c r="BU5" s="35" t="str">
        <f t="shared" si="3"/>
        <v>Nov</v>
      </c>
      <c r="BV5" s="35" t="str">
        <f t="shared" si="3"/>
        <v>Dec</v>
      </c>
      <c r="BW5" s="36" t="s">
        <v>116</v>
      </c>
      <c r="BX5" s="36" t="s">
        <v>117</v>
      </c>
    </row>
    <row r="6" spans="1:76" ht="14.5">
      <c r="A6" s="1" t="s">
        <v>246</v>
      </c>
      <c r="B6" s="1"/>
      <c r="C6" s="1"/>
      <c r="D6" s="1"/>
      <c r="E6" s="1"/>
      <c r="F6" s="2"/>
      <c r="G6" s="2"/>
      <c r="H6" s="2"/>
      <c r="I6" s="2"/>
      <c r="J6" s="2"/>
      <c r="K6" s="3">
        <v>1</v>
      </c>
      <c r="L6" s="3">
        <v>2</v>
      </c>
      <c r="M6" s="3">
        <v>3</v>
      </c>
      <c r="N6" s="3">
        <v>4</v>
      </c>
      <c r="O6" s="3">
        <v>5</v>
      </c>
      <c r="P6" s="3">
        <v>6</v>
      </c>
      <c r="Q6" s="3">
        <v>7</v>
      </c>
      <c r="R6" s="3">
        <v>8</v>
      </c>
      <c r="S6" s="3">
        <v>9</v>
      </c>
      <c r="T6" s="3">
        <v>10</v>
      </c>
      <c r="U6" s="3">
        <v>11</v>
      </c>
      <c r="V6" s="3">
        <v>12</v>
      </c>
      <c r="W6" s="292"/>
      <c r="X6" s="316">
        <v>13</v>
      </c>
      <c r="Y6" s="3">
        <v>14</v>
      </c>
      <c r="Z6" s="3">
        <v>15</v>
      </c>
      <c r="AA6" s="3">
        <v>16</v>
      </c>
      <c r="AB6" s="3">
        <v>17</v>
      </c>
      <c r="AC6" s="3">
        <v>18</v>
      </c>
      <c r="AD6" s="3">
        <v>19</v>
      </c>
      <c r="AE6" s="3">
        <v>20</v>
      </c>
      <c r="AF6" s="3">
        <v>21</v>
      </c>
      <c r="AG6" s="3">
        <v>22</v>
      </c>
      <c r="AH6" s="3">
        <v>23</v>
      </c>
      <c r="AI6" s="3">
        <v>24</v>
      </c>
      <c r="AJ6" s="37"/>
      <c r="AK6" s="3">
        <v>25</v>
      </c>
      <c r="AL6" s="3">
        <v>26</v>
      </c>
      <c r="AM6" s="3">
        <v>27</v>
      </c>
      <c r="AN6" s="3">
        <v>28</v>
      </c>
      <c r="AO6" s="3">
        <v>29</v>
      </c>
      <c r="AP6" s="3">
        <v>30</v>
      </c>
      <c r="AQ6" s="3">
        <v>31</v>
      </c>
      <c r="AR6" s="3">
        <v>32</v>
      </c>
      <c r="AS6" s="3">
        <v>33</v>
      </c>
      <c r="AT6" s="3">
        <v>34</v>
      </c>
      <c r="AU6" s="3">
        <v>35</v>
      </c>
      <c r="AV6" s="3">
        <v>36</v>
      </c>
      <c r="AW6" s="37"/>
      <c r="AX6" s="3">
        <v>37</v>
      </c>
      <c r="AY6" s="3">
        <v>38</v>
      </c>
      <c r="AZ6" s="3">
        <v>39</v>
      </c>
      <c r="BA6" s="3">
        <v>40</v>
      </c>
      <c r="BB6" s="3">
        <v>41</v>
      </c>
      <c r="BC6" s="3">
        <v>42</v>
      </c>
      <c r="BD6" s="3">
        <v>43</v>
      </c>
      <c r="BE6" s="3">
        <v>44</v>
      </c>
      <c r="BF6" s="3">
        <v>45</v>
      </c>
      <c r="BG6" s="3">
        <v>46</v>
      </c>
      <c r="BH6" s="3">
        <v>47</v>
      </c>
      <c r="BI6" s="3">
        <v>48</v>
      </c>
      <c r="BJ6" s="37"/>
      <c r="BK6" s="3">
        <v>49</v>
      </c>
      <c r="BL6" s="3">
        <v>50</v>
      </c>
      <c r="BM6" s="3">
        <v>51</v>
      </c>
      <c r="BN6" s="3">
        <v>52</v>
      </c>
      <c r="BO6" s="3">
        <v>53</v>
      </c>
      <c r="BP6" s="3">
        <v>54</v>
      </c>
      <c r="BQ6" s="3">
        <v>55</v>
      </c>
      <c r="BR6" s="3">
        <v>56</v>
      </c>
      <c r="BS6" s="3">
        <v>57</v>
      </c>
      <c r="BT6" s="3">
        <v>58</v>
      </c>
      <c r="BU6" s="3">
        <v>59</v>
      </c>
      <c r="BV6" s="3">
        <v>60</v>
      </c>
      <c r="BW6" s="37"/>
      <c r="BX6" s="2"/>
    </row>
    <row r="7" spans="1:76" ht="14.5">
      <c r="A7" s="373" t="s">
        <v>652</v>
      </c>
      <c r="B7" s="374"/>
      <c r="C7" s="374"/>
      <c r="D7" s="374"/>
      <c r="E7" s="374"/>
      <c r="F7" s="2"/>
      <c r="G7" s="60"/>
      <c r="H7" s="2"/>
      <c r="I7" s="2"/>
      <c r="J7" s="2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292"/>
      <c r="X7" s="316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7"/>
      <c r="AK7" s="316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7"/>
      <c r="AX7" s="316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7"/>
      <c r="BK7" s="316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7"/>
      <c r="BX7" s="2"/>
    </row>
    <row r="8" spans="1:76" ht="14.5">
      <c r="A8" s="365"/>
      <c r="F8" s="2"/>
      <c r="G8" s="256"/>
      <c r="J8" s="257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57"/>
      <c r="X8" s="30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30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30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30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</row>
    <row r="9" spans="1:76" ht="14.5">
      <c r="A9" s="36" t="s">
        <v>458</v>
      </c>
      <c r="B9" s="364" t="s">
        <v>3</v>
      </c>
      <c r="C9" s="364" t="s">
        <v>4</v>
      </c>
      <c r="D9" s="364" t="s">
        <v>5</v>
      </c>
      <c r="E9" s="364" t="s">
        <v>6</v>
      </c>
      <c r="F9" s="1"/>
      <c r="G9" s="258"/>
      <c r="H9" s="257"/>
      <c r="I9" s="257"/>
      <c r="J9" s="2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08"/>
      <c r="X9" s="316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16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16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16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2"/>
    </row>
    <row r="10" spans="1:76" ht="14.5">
      <c r="A10" s="284">
        <v>60</v>
      </c>
      <c r="B10" s="59">
        <f>A10*(1+Assumptions!$D$75)</f>
        <v>61.2</v>
      </c>
      <c r="C10" s="59">
        <f>B10*(1+Assumptions!$E$75)</f>
        <v>62.424000000000007</v>
      </c>
      <c r="D10" s="59">
        <f>C10*(1+Assumptions!$F$75)</f>
        <v>63.672480000000007</v>
      </c>
      <c r="E10" s="59">
        <f>D10*(1+Assumptions!$G$75)</f>
        <v>64.945929600000014</v>
      </c>
      <c r="F10" s="2" t="str">
        <f>'Beer Revenue'!J15</f>
        <v>Core 1 - Lager</v>
      </c>
      <c r="G10" s="2"/>
      <c r="H10" s="2"/>
      <c r="I10" s="2"/>
      <c r="J10" s="2"/>
      <c r="K10" s="309">
        <f>$A10*'Beer Revenue'!L87</f>
        <v>141.33375000000001</v>
      </c>
      <c r="L10" s="309">
        <f>$A10*'Beer Revenue'!M87</f>
        <v>150.26209173387093</v>
      </c>
      <c r="M10" s="309">
        <f>$A10*'Beer Revenue'!N87</f>
        <v>212.00062500000001</v>
      </c>
      <c r="N10" s="309">
        <f>$A10*'Beer Revenue'!O87</f>
        <v>250.75342741935492</v>
      </c>
      <c r="O10" s="309">
        <f>$A10*'Beer Revenue'!P87</f>
        <v>282.66750000000002</v>
      </c>
      <c r="P10" s="309">
        <f>$A10*'Beer Revenue'!Q87</f>
        <v>250.75342741935492</v>
      </c>
      <c r="Q10" s="309">
        <f>$A10*'Beer Revenue'!R87</f>
        <v>235.55625000000003</v>
      </c>
      <c r="R10" s="309">
        <f>$A10*'Beer Revenue'!S87</f>
        <v>294.44531250000006</v>
      </c>
      <c r="S10" s="309">
        <f>$A10*'Beer Revenue'!T87</f>
        <v>284.94707661290323</v>
      </c>
      <c r="T10" s="309">
        <f>$A10*'Beer Revenue'!U87</f>
        <v>282.66750000000002</v>
      </c>
      <c r="U10" s="309">
        <f>$A10*'Beer Revenue'!V87</f>
        <v>205.16189516129032</v>
      </c>
      <c r="V10" s="309">
        <f>$A10*'Beer Revenue'!W87</f>
        <v>188.44500000000002</v>
      </c>
      <c r="W10" s="312">
        <f>SUM(K10:V10)</f>
        <v>2778.9938558467747</v>
      </c>
      <c r="X10" s="317">
        <f>$B10*'Beer Revenue'!Y87</f>
        <v>165.78448874999998</v>
      </c>
      <c r="Y10" s="309">
        <f>$B10*'Beer Revenue'!Z87</f>
        <v>176.25743360383063</v>
      </c>
      <c r="Z10" s="309">
        <f>$B10*'Beer Revenue'!AA87</f>
        <v>248.67673312500003</v>
      </c>
      <c r="AA10" s="309">
        <f>$B10*'Beer Revenue'!AB87</f>
        <v>294.13377036290331</v>
      </c>
      <c r="AB10" s="309">
        <f>$B10*'Beer Revenue'!AC87</f>
        <v>331.56897749999996</v>
      </c>
      <c r="AC10" s="309">
        <f>$B10*'Beer Revenue'!AD87</f>
        <v>294.13377036290331</v>
      </c>
      <c r="AD10" s="309">
        <f>$B10*'Beer Revenue'!AE87</f>
        <v>276.30748125000002</v>
      </c>
      <c r="AE10" s="309">
        <f>$B10*'Beer Revenue'!AF87</f>
        <v>345.38435156250006</v>
      </c>
      <c r="AF10" s="309">
        <f>$B10*'Beer Revenue'!AG87</f>
        <v>334.24292086693544</v>
      </c>
      <c r="AG10" s="309">
        <f>$B10*'Beer Revenue'!AH87</f>
        <v>331.56897749999996</v>
      </c>
      <c r="AH10" s="309">
        <f>$B10*'Beer Revenue'!AI87</f>
        <v>240.65490302419357</v>
      </c>
      <c r="AI10" s="309">
        <f>$B10*'Beer Revenue'!AJ87</f>
        <v>221.04598500000003</v>
      </c>
      <c r="AJ10" s="312">
        <f>SUM(X10:AI10)</f>
        <v>3259.7597929082663</v>
      </c>
      <c r="AK10" s="309">
        <f>$C10*'Beer Revenue'!AL87</f>
        <v>186.01019637749999</v>
      </c>
      <c r="AL10" s="309">
        <f>$C10*'Beer Revenue'!AM87</f>
        <v>197.760840503498</v>
      </c>
      <c r="AM10" s="309">
        <f>$C10*'Beer Revenue'!AN87</f>
        <v>279.01529456625002</v>
      </c>
      <c r="AN10" s="309">
        <f>$C10*'Beer Revenue'!AO87</f>
        <v>330.01809034717752</v>
      </c>
      <c r="AO10" s="309">
        <f>$C10*'Beer Revenue'!AP87</f>
        <v>372.02039275499999</v>
      </c>
      <c r="AP10" s="309">
        <f>$C10*'Beer Revenue'!AQ87</f>
        <v>330.01809034717752</v>
      </c>
      <c r="AQ10" s="309">
        <f>$C10*'Beer Revenue'!AR87</f>
        <v>310.01699396250001</v>
      </c>
      <c r="AR10" s="309">
        <f>$C10*'Beer Revenue'!AS87</f>
        <v>387.52124245312507</v>
      </c>
      <c r="AS10" s="309">
        <f>$C10*'Beer Revenue'!AT87</f>
        <v>375.02055721270159</v>
      </c>
      <c r="AT10" s="309">
        <f>$C10*'Beer Revenue'!AU87</f>
        <v>372.02039275499999</v>
      </c>
      <c r="AU10" s="309">
        <f>$C10*'Beer Revenue'!AV87</f>
        <v>270.01480119314522</v>
      </c>
      <c r="AV10" s="309">
        <f>$C10*'Beer Revenue'!AW87</f>
        <v>248.01359517000006</v>
      </c>
      <c r="AW10" s="312">
        <f>SUM(AK10:AV10)</f>
        <v>3657.4504876430747</v>
      </c>
      <c r="AX10" s="309">
        <f>$D10*'Beer Revenue'!AY87</f>
        <v>199.21692032030253</v>
      </c>
      <c r="AY10" s="309">
        <f>$D10*'Beer Revenue'!AZ87</f>
        <v>211.80186017924638</v>
      </c>
      <c r="AZ10" s="309">
        <f>$D10*'Beer Revenue'!BA87</f>
        <v>298.82538048045382</v>
      </c>
      <c r="BA10" s="309">
        <f>$D10*'Beer Revenue'!BB87</f>
        <v>353.44937476182713</v>
      </c>
      <c r="BB10" s="309">
        <f>$D10*'Beer Revenue'!BC87</f>
        <v>398.43384064060507</v>
      </c>
      <c r="BC10" s="309">
        <f>$D10*'Beer Revenue'!BD87</f>
        <v>353.44937476182713</v>
      </c>
      <c r="BD10" s="309">
        <f>$D10*'Beer Revenue'!BE87</f>
        <v>332.02820053383749</v>
      </c>
      <c r="BE10" s="309">
        <f>$D10*'Beer Revenue'!BF87</f>
        <v>415.03525066729702</v>
      </c>
      <c r="BF10" s="309">
        <f>$D10*'Beer Revenue'!BG87</f>
        <v>401.64701677480343</v>
      </c>
      <c r="BG10" s="309">
        <f>$D10*'Beer Revenue'!BH87</f>
        <v>398.43384064060507</v>
      </c>
      <c r="BH10" s="309">
        <f>$D10*'Beer Revenue'!BI87</f>
        <v>289.18585207785861</v>
      </c>
      <c r="BI10" s="309">
        <f>$D10*'Beer Revenue'!BJ87</f>
        <v>265.62256042707008</v>
      </c>
      <c r="BJ10" s="312">
        <f>SUM(AX10:BI10)</f>
        <v>3917.129472265734</v>
      </c>
      <c r="BK10" s="309">
        <f>$E10*'Beer Revenue'!BL87</f>
        <v>213.36132166304401</v>
      </c>
      <c r="BL10" s="309">
        <f>$E10*'Beer Revenue'!BM87</f>
        <v>226.83979225197291</v>
      </c>
      <c r="BM10" s="309">
        <f>$E10*'Beer Revenue'!BN87</f>
        <v>320.04198249456613</v>
      </c>
      <c r="BN10" s="309">
        <f>$E10*'Beer Revenue'!BO87</f>
        <v>378.54428036991698</v>
      </c>
      <c r="BO10" s="309">
        <f>$E10*'Beer Revenue'!BP87</f>
        <v>426.72264332608802</v>
      </c>
      <c r="BP10" s="309">
        <f>$E10*'Beer Revenue'!BQ87</f>
        <v>378.54428036991698</v>
      </c>
      <c r="BQ10" s="309">
        <f>$E10*'Beer Revenue'!BR87</f>
        <v>355.60220277174</v>
      </c>
      <c r="BR10" s="309">
        <f>$E10*'Beer Revenue'!BS87</f>
        <v>444.5027534646751</v>
      </c>
      <c r="BS10" s="309">
        <f>$E10*'Beer Revenue'!BT87</f>
        <v>430.16395496581453</v>
      </c>
      <c r="BT10" s="309">
        <f>$E10*'Beer Revenue'!BU87</f>
        <v>426.72264332608802</v>
      </c>
      <c r="BU10" s="309">
        <f>$E10*'Beer Revenue'!BV87</f>
        <v>309.71804757538661</v>
      </c>
      <c r="BV10" s="309">
        <f>$E10*'Beer Revenue'!BW87</f>
        <v>284.48176221739203</v>
      </c>
      <c r="BW10" s="312">
        <f>SUM(BK10:BV10)</f>
        <v>4195.245664796601</v>
      </c>
      <c r="BX10" s="312">
        <f>W10+AJ10+AW10+BJ10+BW10</f>
        <v>17808.579273460447</v>
      </c>
    </row>
    <row r="11" spans="1:76" ht="14.5">
      <c r="A11" s="284">
        <v>160</v>
      </c>
      <c r="B11" s="59">
        <f>A11*(1+Assumptions!$D$75)</f>
        <v>163.19999999999999</v>
      </c>
      <c r="C11" s="59">
        <f>B11*(1+Assumptions!$E$75)</f>
        <v>166.464</v>
      </c>
      <c r="D11" s="59">
        <f>C11*(1+Assumptions!$F$75)</f>
        <v>169.79328000000001</v>
      </c>
      <c r="E11" s="59">
        <f>D11*(1+Assumptions!$G$75)</f>
        <v>173.18914560000002</v>
      </c>
      <c r="F11" s="2" t="str">
        <f>'Beer Revenue'!J16</f>
        <v>Core 2 - Hoppy Pale</v>
      </c>
      <c r="G11" s="2"/>
      <c r="H11" s="2"/>
      <c r="I11" s="2"/>
      <c r="J11" s="2"/>
      <c r="K11" s="309">
        <f>$A11*'Beer Revenue'!L88</f>
        <v>565.33499999999992</v>
      </c>
      <c r="L11" s="309">
        <f>$A11*'Beer Revenue'!M88</f>
        <v>601.04836693548373</v>
      </c>
      <c r="M11" s="309">
        <f>$A11*'Beer Revenue'!N88</f>
        <v>848.00249999999994</v>
      </c>
      <c r="N11" s="309">
        <f>$A11*'Beer Revenue'!O88</f>
        <v>1003.0137096774193</v>
      </c>
      <c r="O11" s="309">
        <f>$A11*'Beer Revenue'!P88</f>
        <v>1130.6699999999998</v>
      </c>
      <c r="P11" s="309">
        <f>$A11*'Beer Revenue'!Q88</f>
        <v>1003.0137096774193</v>
      </c>
      <c r="Q11" s="309">
        <f>$A11*'Beer Revenue'!R88</f>
        <v>942.22499999999991</v>
      </c>
      <c r="R11" s="309">
        <f>$A11*'Beer Revenue'!S88</f>
        <v>1177.78125</v>
      </c>
      <c r="S11" s="309">
        <f>$A11*'Beer Revenue'!T88</f>
        <v>1139.7883064516127</v>
      </c>
      <c r="T11" s="309">
        <f>$A11*'Beer Revenue'!U88</f>
        <v>1130.6699999999998</v>
      </c>
      <c r="U11" s="309">
        <f>$A11*'Beer Revenue'!V88</f>
        <v>820.64758064516138</v>
      </c>
      <c r="V11" s="309">
        <f>$A11*'Beer Revenue'!W88</f>
        <v>753.78</v>
      </c>
      <c r="W11" s="312">
        <f t="shared" ref="W11:W38" si="4">SUM(K11:V11)</f>
        <v>11115.975423387097</v>
      </c>
      <c r="X11" s="317">
        <f>$B11*'Beer Revenue'!Y88</f>
        <v>663.13795499999981</v>
      </c>
      <c r="Y11" s="309">
        <f>$B11*'Beer Revenue'!Z88</f>
        <v>705.02973441532231</v>
      </c>
      <c r="Z11" s="309">
        <f>$B11*'Beer Revenue'!AA88</f>
        <v>994.70693249999988</v>
      </c>
      <c r="AA11" s="309">
        <f>$B11*'Beer Revenue'!AB88</f>
        <v>1176.5350814516125</v>
      </c>
      <c r="AB11" s="309">
        <f>$B11*'Beer Revenue'!AC88</f>
        <v>1326.2759099999996</v>
      </c>
      <c r="AC11" s="309">
        <f>$B11*'Beer Revenue'!AD88</f>
        <v>1176.5350814516125</v>
      </c>
      <c r="AD11" s="309">
        <f>$B11*'Beer Revenue'!AE88</f>
        <v>1105.2299249999999</v>
      </c>
      <c r="AE11" s="309">
        <f>$B11*'Beer Revenue'!AF88</f>
        <v>1381.5374062499995</v>
      </c>
      <c r="AF11" s="309">
        <f>$B11*'Beer Revenue'!AG88</f>
        <v>1336.9716834677417</v>
      </c>
      <c r="AG11" s="309">
        <f>$B11*'Beer Revenue'!AH88</f>
        <v>1326.2759099999996</v>
      </c>
      <c r="AH11" s="309">
        <f>$B11*'Beer Revenue'!AI88</f>
        <v>962.61961209677406</v>
      </c>
      <c r="AI11" s="309">
        <f>$B11*'Beer Revenue'!AJ88</f>
        <v>884.18393999999989</v>
      </c>
      <c r="AJ11" s="312">
        <f t="shared" ref="AJ11:AJ22" si="5">SUM(X11:AI11)</f>
        <v>13039.039171633063</v>
      </c>
      <c r="AK11" s="309">
        <f>$C11*'Beer Revenue'!AL88</f>
        <v>744.04078550999986</v>
      </c>
      <c r="AL11" s="309">
        <f>$C11*'Beer Revenue'!AM88</f>
        <v>791.04336201399178</v>
      </c>
      <c r="AM11" s="309">
        <f>$C11*'Beer Revenue'!AN88</f>
        <v>1116.0611782650001</v>
      </c>
      <c r="AN11" s="309">
        <f>$C11*'Beer Revenue'!AO88</f>
        <v>1320.0723613887094</v>
      </c>
      <c r="AO11" s="309">
        <f>$C11*'Beer Revenue'!AP88</f>
        <v>1488.0815710199997</v>
      </c>
      <c r="AP11" s="309">
        <f>$C11*'Beer Revenue'!AQ88</f>
        <v>1320.0723613887094</v>
      </c>
      <c r="AQ11" s="309">
        <f>$C11*'Beer Revenue'!AR88</f>
        <v>1240.06797585</v>
      </c>
      <c r="AR11" s="309">
        <f>$C11*'Beer Revenue'!AS88</f>
        <v>1550.0849698124998</v>
      </c>
      <c r="AS11" s="309">
        <f>$C11*'Beer Revenue'!AT88</f>
        <v>1500.0822288508066</v>
      </c>
      <c r="AT11" s="309">
        <f>$C11*'Beer Revenue'!AU88</f>
        <v>1488.0815710199997</v>
      </c>
      <c r="AU11" s="309">
        <f>$C11*'Beer Revenue'!AV88</f>
        <v>1080.0592047725806</v>
      </c>
      <c r="AV11" s="309">
        <f>$C11*'Beer Revenue'!AW88</f>
        <v>992.05438067999989</v>
      </c>
      <c r="AW11" s="312">
        <f t="shared" ref="AW11:AW22" si="6">SUM(AK11:AV11)</f>
        <v>14629.801950572297</v>
      </c>
      <c r="AX11" s="309">
        <f>$D11*'Beer Revenue'!AY88</f>
        <v>796.86768128121003</v>
      </c>
      <c r="AY11" s="309">
        <f>$D11*'Beer Revenue'!AZ88</f>
        <v>847.20744071698516</v>
      </c>
      <c r="AZ11" s="309">
        <f>$D11*'Beer Revenue'!BA88</f>
        <v>1195.3015219218153</v>
      </c>
      <c r="BA11" s="309">
        <f>$D11*'Beer Revenue'!BB88</f>
        <v>1413.7974990473081</v>
      </c>
      <c r="BB11" s="309">
        <f>$D11*'Beer Revenue'!BC88</f>
        <v>1593.7353625624201</v>
      </c>
      <c r="BC11" s="309">
        <f>$D11*'Beer Revenue'!BD88</f>
        <v>1413.7974990473081</v>
      </c>
      <c r="BD11" s="309">
        <f>$D11*'Beer Revenue'!BE88</f>
        <v>1328.1128021353502</v>
      </c>
      <c r="BE11" s="309">
        <f>$D11*'Beer Revenue'!BF88</f>
        <v>1660.1410026691874</v>
      </c>
      <c r="BF11" s="309">
        <f>$D11*'Beer Revenue'!BG88</f>
        <v>1606.588067099214</v>
      </c>
      <c r="BG11" s="309">
        <f>$D11*'Beer Revenue'!BH88</f>
        <v>1593.7353625624201</v>
      </c>
      <c r="BH11" s="309">
        <f>$D11*'Beer Revenue'!BI88</f>
        <v>1156.743408311434</v>
      </c>
      <c r="BI11" s="309">
        <f>$D11*'Beer Revenue'!BJ88</f>
        <v>1062.4902417082801</v>
      </c>
      <c r="BJ11" s="312">
        <f t="shared" ref="BJ11:BJ38" si="7">SUM(AX11:BI11)</f>
        <v>15668.51788906293</v>
      </c>
      <c r="BK11" s="309">
        <f>$E11*'Beer Revenue'!BL88</f>
        <v>853.44528665217615</v>
      </c>
      <c r="BL11" s="309">
        <f>$E11*'Beer Revenue'!BM88</f>
        <v>907.35916900789141</v>
      </c>
      <c r="BM11" s="309">
        <f>$E11*'Beer Revenue'!BN88</f>
        <v>1280.1679299782641</v>
      </c>
      <c r="BN11" s="309">
        <f>$E11*'Beer Revenue'!BO88</f>
        <v>1514.177121479667</v>
      </c>
      <c r="BO11" s="309">
        <f>$E11*'Beer Revenue'!BP88</f>
        <v>1706.8905733043523</v>
      </c>
      <c r="BP11" s="309">
        <f>$E11*'Beer Revenue'!BQ88</f>
        <v>1514.177121479667</v>
      </c>
      <c r="BQ11" s="309">
        <f>$E11*'Beer Revenue'!BR88</f>
        <v>1422.4088110869604</v>
      </c>
      <c r="BR11" s="309">
        <f>$E11*'Beer Revenue'!BS88</f>
        <v>1778.0110138586999</v>
      </c>
      <c r="BS11" s="309">
        <f>$E11*'Beer Revenue'!BT88</f>
        <v>1720.6558198632583</v>
      </c>
      <c r="BT11" s="309">
        <f>$E11*'Beer Revenue'!BU88</f>
        <v>1706.8905733043523</v>
      </c>
      <c r="BU11" s="309">
        <f>$E11*'Beer Revenue'!BV88</f>
        <v>1238.872190301546</v>
      </c>
      <c r="BV11" s="309">
        <f>$E11*'Beer Revenue'!BW88</f>
        <v>1137.9270488695679</v>
      </c>
      <c r="BW11" s="312">
        <f t="shared" ref="BW11:BW35" si="8">SUM(BK11:BV11)</f>
        <v>16780.982659186404</v>
      </c>
      <c r="BX11" s="312">
        <f t="shared" ref="BX11:BX38" si="9">W11+AJ11+AW11+BJ11+BW11</f>
        <v>71234.31709384179</v>
      </c>
    </row>
    <row r="12" spans="1:76" ht="14.5">
      <c r="A12" s="284">
        <v>70</v>
      </c>
      <c r="B12" s="59">
        <f>A12*(1+Assumptions!$D$75)</f>
        <v>71.400000000000006</v>
      </c>
      <c r="C12" s="59">
        <f>B12*(1+Assumptions!$E$75)</f>
        <v>72.828000000000003</v>
      </c>
      <c r="D12" s="59">
        <f>C12*(1+Assumptions!$F$75)</f>
        <v>74.284559999999999</v>
      </c>
      <c r="E12" s="59">
        <f>D12*(1+Assumptions!$G$75)</f>
        <v>75.770251200000004</v>
      </c>
      <c r="F12" s="2" t="str">
        <f>'Beer Revenue'!J17</f>
        <v>Core 3 - Red Ale</v>
      </c>
      <c r="G12" s="2"/>
      <c r="H12" s="2"/>
      <c r="I12" s="2"/>
      <c r="J12" s="2"/>
      <c r="K12" s="309">
        <f>$A12*'Beer Revenue'!L89</f>
        <v>67.722421874999995</v>
      </c>
      <c r="L12" s="309">
        <f>$A12*'Beer Revenue'!M89</f>
        <v>72.000585622479832</v>
      </c>
      <c r="M12" s="309">
        <f>$A12*'Beer Revenue'!N89</f>
        <v>101.58363281250003</v>
      </c>
      <c r="N12" s="309">
        <f>$A12*'Beer Revenue'!O89</f>
        <v>120.15268397177422</v>
      </c>
      <c r="O12" s="309">
        <f>$A12*'Beer Revenue'!P89</f>
        <v>135.44484374999999</v>
      </c>
      <c r="P12" s="309">
        <f>$A12*'Beer Revenue'!Q89</f>
        <v>120.15268397177422</v>
      </c>
      <c r="Q12" s="309">
        <f>$A12*'Beer Revenue'!R89</f>
        <v>112.87070312500002</v>
      </c>
      <c r="R12" s="309">
        <f>$A12*'Beer Revenue'!S89</f>
        <v>141.08837890625003</v>
      </c>
      <c r="S12" s="309">
        <f>$A12*'Beer Revenue'!T89</f>
        <v>136.53714087701613</v>
      </c>
      <c r="T12" s="309">
        <f>$A12*'Beer Revenue'!U89</f>
        <v>135.44484374999999</v>
      </c>
      <c r="U12" s="309">
        <f>$A12*'Beer Revenue'!V89</f>
        <v>98.306741431451627</v>
      </c>
      <c r="V12" s="309">
        <f>$A12*'Beer Revenue'!W89</f>
        <v>90.296562500000007</v>
      </c>
      <c r="W12" s="312">
        <f t="shared" si="4"/>
        <v>1331.6012225932459</v>
      </c>
      <c r="X12" s="317">
        <f>$B12*'Beer Revenue'!Y89</f>
        <v>79.438400859374994</v>
      </c>
      <c r="Y12" s="309">
        <f>$B12*'Beer Revenue'!Z89</f>
        <v>84.456686935168847</v>
      </c>
      <c r="Z12" s="309">
        <f>$B12*'Beer Revenue'!AA89</f>
        <v>119.15760128906251</v>
      </c>
      <c r="AA12" s="309">
        <f>$B12*'Beer Revenue'!AB89</f>
        <v>140.93909829889117</v>
      </c>
      <c r="AB12" s="309">
        <f>$B12*'Beer Revenue'!AC89</f>
        <v>158.87680171874999</v>
      </c>
      <c r="AC12" s="309">
        <f>$B12*'Beer Revenue'!AD89</f>
        <v>140.93909829889117</v>
      </c>
      <c r="AD12" s="309">
        <f>$B12*'Beer Revenue'!AE89</f>
        <v>132.397334765625</v>
      </c>
      <c r="AE12" s="309">
        <f>$B12*'Beer Revenue'!AF89</f>
        <v>165.49666845703126</v>
      </c>
      <c r="AF12" s="309">
        <f>$B12*'Beer Revenue'!AG89</f>
        <v>160.15806624873991</v>
      </c>
      <c r="AG12" s="309">
        <f>$B12*'Beer Revenue'!AH89</f>
        <v>158.87680171874999</v>
      </c>
      <c r="AH12" s="309">
        <f>$B12*'Beer Revenue'!AI89</f>
        <v>115.31380769909275</v>
      </c>
      <c r="AI12" s="309">
        <f>$B12*'Beer Revenue'!AJ89</f>
        <v>105.91786781250002</v>
      </c>
      <c r="AJ12" s="312">
        <f t="shared" si="5"/>
        <v>1561.9682341018774</v>
      </c>
      <c r="AK12" s="309">
        <f>$C12*'Beer Revenue'!AL89</f>
        <v>89.129885764218756</v>
      </c>
      <c r="AL12" s="309">
        <f>$C12*'Beer Revenue'!AM89</f>
        <v>94.760402741259455</v>
      </c>
      <c r="AM12" s="309">
        <f>$C12*'Beer Revenue'!AN89</f>
        <v>133.69482864632815</v>
      </c>
      <c r="AN12" s="309">
        <f>$C12*'Beer Revenue'!AO89</f>
        <v>158.13366829135586</v>
      </c>
      <c r="AO12" s="309">
        <f>$C12*'Beer Revenue'!AP89</f>
        <v>178.25977152843751</v>
      </c>
      <c r="AP12" s="309">
        <f>$C12*'Beer Revenue'!AQ89</f>
        <v>158.13366829135586</v>
      </c>
      <c r="AQ12" s="309">
        <f>$C12*'Beer Revenue'!AR89</f>
        <v>148.54980960703125</v>
      </c>
      <c r="AR12" s="309">
        <f>$C12*'Beer Revenue'!AS89</f>
        <v>185.68726200878908</v>
      </c>
      <c r="AS12" s="309">
        <f>$C12*'Beer Revenue'!AT89</f>
        <v>179.6973503310862</v>
      </c>
      <c r="AT12" s="309">
        <f>$C12*'Beer Revenue'!AU89</f>
        <v>178.25977152843751</v>
      </c>
      <c r="AU12" s="309">
        <f>$C12*'Beer Revenue'!AV89</f>
        <v>129.38209223838209</v>
      </c>
      <c r="AV12" s="309">
        <f>$C12*'Beer Revenue'!AW89</f>
        <v>118.83984768562502</v>
      </c>
      <c r="AW12" s="312">
        <f t="shared" si="6"/>
        <v>1752.5283586623068</v>
      </c>
      <c r="AX12" s="309">
        <f>$D12*'Beer Revenue'!AY89</f>
        <v>95.45810765347828</v>
      </c>
      <c r="AY12" s="309">
        <f>$D12*'Beer Revenue'!AZ89</f>
        <v>101.48839133588888</v>
      </c>
      <c r="AZ12" s="309">
        <f>$D12*'Beer Revenue'!BA89</f>
        <v>143.18716148021744</v>
      </c>
      <c r="BA12" s="309">
        <f>$D12*'Beer Revenue'!BB89</f>
        <v>169.36115874004219</v>
      </c>
      <c r="BB12" s="309">
        <f>$D12*'Beer Revenue'!BC89</f>
        <v>190.91621530695656</v>
      </c>
      <c r="BC12" s="309">
        <f>$D12*'Beer Revenue'!BD89</f>
        <v>169.36115874004219</v>
      </c>
      <c r="BD12" s="309">
        <f>$D12*'Beer Revenue'!BE89</f>
        <v>159.09684608913048</v>
      </c>
      <c r="BE12" s="309">
        <f>$D12*'Beer Revenue'!BF89</f>
        <v>198.87105761141311</v>
      </c>
      <c r="BF12" s="309">
        <f>$D12*'Beer Revenue'!BG89</f>
        <v>192.45586220459327</v>
      </c>
      <c r="BG12" s="309">
        <f>$D12*'Beer Revenue'!BH89</f>
        <v>190.91621530695656</v>
      </c>
      <c r="BH12" s="309">
        <f>$D12*'Beer Revenue'!BI89</f>
        <v>138.56822078730724</v>
      </c>
      <c r="BI12" s="309">
        <f>$D12*'Beer Revenue'!BJ89</f>
        <v>127.2774768713044</v>
      </c>
      <c r="BJ12" s="312">
        <f t="shared" si="7"/>
        <v>1876.9578721273303</v>
      </c>
      <c r="BK12" s="309">
        <f>$E12*'Beer Revenue'!BL89</f>
        <v>102.23563329687524</v>
      </c>
      <c r="BL12" s="309">
        <f>$E12*'Beer Revenue'!BM89</f>
        <v>108.69406712073699</v>
      </c>
      <c r="BM12" s="309">
        <f>$E12*'Beer Revenue'!BN89</f>
        <v>153.35344994531292</v>
      </c>
      <c r="BN12" s="309">
        <f>$E12*'Beer Revenue'!BO89</f>
        <v>181.3858010105852</v>
      </c>
      <c r="BO12" s="309">
        <f>$E12*'Beer Revenue'!BP89</f>
        <v>204.47126659375047</v>
      </c>
      <c r="BP12" s="309">
        <f>$E12*'Beer Revenue'!BQ89</f>
        <v>181.3858010105852</v>
      </c>
      <c r="BQ12" s="309">
        <f>$E12*'Beer Revenue'!BR89</f>
        <v>170.39272216145872</v>
      </c>
      <c r="BR12" s="309">
        <f>$E12*'Beer Revenue'!BS89</f>
        <v>212.99090270182344</v>
      </c>
      <c r="BS12" s="309">
        <f>$E12*'Beer Revenue'!BT89</f>
        <v>206.12022842111944</v>
      </c>
      <c r="BT12" s="309">
        <f>$E12*'Beer Revenue'!BU89</f>
        <v>204.47126659375047</v>
      </c>
      <c r="BU12" s="309">
        <f>$E12*'Beer Revenue'!BV89</f>
        <v>148.40656446320605</v>
      </c>
      <c r="BV12" s="309">
        <f>$E12*'Beer Revenue'!BW89</f>
        <v>136.31417772916703</v>
      </c>
      <c r="BW12" s="312">
        <f t="shared" si="8"/>
        <v>2010.2218810483712</v>
      </c>
      <c r="BX12" s="312">
        <f t="shared" si="9"/>
        <v>8533.2775685331326</v>
      </c>
    </row>
    <row r="13" spans="1:76" ht="14.5">
      <c r="A13" s="284">
        <v>80</v>
      </c>
      <c r="B13" s="59">
        <f>A13*(1+Assumptions!$D$75)</f>
        <v>81.599999999999994</v>
      </c>
      <c r="C13" s="59">
        <f>B13*(1+Assumptions!$E$75)</f>
        <v>83.231999999999999</v>
      </c>
      <c r="D13" s="59">
        <f>C13*(1+Assumptions!$F$75)</f>
        <v>84.896640000000005</v>
      </c>
      <c r="E13" s="59">
        <f>D13*(1+Assumptions!$G$75)</f>
        <v>86.594572800000009</v>
      </c>
      <c r="F13" s="2" t="str">
        <f>'Beer Revenue'!J18</f>
        <v>Core 4 - Dark (Porter?)</v>
      </c>
      <c r="G13" s="2"/>
      <c r="H13" s="2"/>
      <c r="I13" s="2"/>
      <c r="J13" s="2"/>
      <c r="K13" s="309">
        <f>$A13*'Beer Revenue'!L90</f>
        <v>38.698526785714286</v>
      </c>
      <c r="L13" s="309">
        <f>$A13*'Beer Revenue'!M90</f>
        <v>41.143191784274187</v>
      </c>
      <c r="M13" s="309">
        <f>$A13*'Beer Revenue'!N90</f>
        <v>58.047790178571439</v>
      </c>
      <c r="N13" s="309">
        <f>$A13*'Beer Revenue'!O90</f>
        <v>68.65867655529955</v>
      </c>
      <c r="O13" s="309">
        <f>$A13*'Beer Revenue'!P90</f>
        <v>77.397053571428572</v>
      </c>
      <c r="P13" s="309">
        <f>$A13*'Beer Revenue'!Q90</f>
        <v>68.65867655529955</v>
      </c>
      <c r="Q13" s="309">
        <f>$A13*'Beer Revenue'!R90</f>
        <v>64.49754464285715</v>
      </c>
      <c r="R13" s="309">
        <f>$A13*'Beer Revenue'!S90</f>
        <v>80.621930803571445</v>
      </c>
      <c r="S13" s="309">
        <f>$A13*'Beer Revenue'!T90</f>
        <v>78.021223358294932</v>
      </c>
      <c r="T13" s="309">
        <f>$A13*'Beer Revenue'!U90</f>
        <v>77.397053571428572</v>
      </c>
      <c r="U13" s="309">
        <f>$A13*'Beer Revenue'!V90</f>
        <v>56.175280817972357</v>
      </c>
      <c r="V13" s="309">
        <f>$A13*'Beer Revenue'!W90</f>
        <v>51.598035714285722</v>
      </c>
      <c r="W13" s="312">
        <f t="shared" si="4"/>
        <v>760.9149843389979</v>
      </c>
      <c r="X13" s="317">
        <f>$B13*'Beer Revenue'!Y90</f>
        <v>45.393371919642846</v>
      </c>
      <c r="Y13" s="309">
        <f>$B13*'Beer Revenue'!Z90</f>
        <v>48.260963962953618</v>
      </c>
      <c r="Z13" s="309">
        <f>$B13*'Beer Revenue'!AA90</f>
        <v>68.090057879464283</v>
      </c>
      <c r="AA13" s="309">
        <f>$B13*'Beer Revenue'!AB90</f>
        <v>80.536627599366369</v>
      </c>
      <c r="AB13" s="309">
        <f>$B13*'Beer Revenue'!AC90</f>
        <v>90.786743839285691</v>
      </c>
      <c r="AC13" s="309">
        <f>$B13*'Beer Revenue'!AD90</f>
        <v>80.536627599366369</v>
      </c>
      <c r="AD13" s="309">
        <f>$B13*'Beer Revenue'!AE90</f>
        <v>75.655619866071433</v>
      </c>
      <c r="AE13" s="309">
        <f>$B13*'Beer Revenue'!AF90</f>
        <v>94.569524832589281</v>
      </c>
      <c r="AF13" s="309">
        <f>$B13*'Beer Revenue'!AG90</f>
        <v>91.518894999279937</v>
      </c>
      <c r="AG13" s="309">
        <f>$B13*'Beer Revenue'!AH90</f>
        <v>90.786743839285691</v>
      </c>
      <c r="AH13" s="309">
        <f>$B13*'Beer Revenue'!AI90</f>
        <v>65.893604399481561</v>
      </c>
      <c r="AI13" s="309">
        <f>$B13*'Beer Revenue'!AJ90</f>
        <v>60.524495892857146</v>
      </c>
      <c r="AJ13" s="312">
        <f t="shared" si="5"/>
        <v>892.55327662964419</v>
      </c>
      <c r="AK13" s="309">
        <f>$C13*'Beer Revenue'!AL90</f>
        <v>50.93136329383929</v>
      </c>
      <c r="AL13" s="309">
        <f>$C13*'Beer Revenue'!AM90</f>
        <v>54.148801566433974</v>
      </c>
      <c r="AM13" s="309">
        <f>$C13*'Beer Revenue'!AN90</f>
        <v>76.397044940758931</v>
      </c>
      <c r="AN13" s="309">
        <f>$C13*'Beer Revenue'!AO90</f>
        <v>90.362096166489067</v>
      </c>
      <c r="AO13" s="309">
        <f>$C13*'Beer Revenue'!AP90</f>
        <v>101.86272658767858</v>
      </c>
      <c r="AP13" s="309">
        <f>$C13*'Beer Revenue'!AQ90</f>
        <v>90.362096166489067</v>
      </c>
      <c r="AQ13" s="309">
        <f>$C13*'Beer Revenue'!AR90</f>
        <v>84.885605489732129</v>
      </c>
      <c r="AR13" s="309">
        <f>$C13*'Beer Revenue'!AS90</f>
        <v>106.10700686216518</v>
      </c>
      <c r="AS13" s="309">
        <f>$C13*'Beer Revenue'!AT90</f>
        <v>102.68420018919211</v>
      </c>
      <c r="AT13" s="309">
        <f>$C13*'Beer Revenue'!AU90</f>
        <v>101.86272658767858</v>
      </c>
      <c r="AU13" s="309">
        <f>$C13*'Beer Revenue'!AV90</f>
        <v>73.932624136218337</v>
      </c>
      <c r="AV13" s="309">
        <f>$C13*'Beer Revenue'!AW90</f>
        <v>67.90848439178572</v>
      </c>
      <c r="AW13" s="312">
        <f t="shared" si="6"/>
        <v>1001.4447763784609</v>
      </c>
      <c r="AX13" s="309">
        <f>$D13*'Beer Revenue'!AY90</f>
        <v>54.547490087701874</v>
      </c>
      <c r="AY13" s="309">
        <f>$D13*'Beer Revenue'!AZ90</f>
        <v>57.993366477650788</v>
      </c>
      <c r="AZ13" s="309">
        <f>$D13*'Beer Revenue'!BA90</f>
        <v>81.821235131552825</v>
      </c>
      <c r="BA13" s="309">
        <f>$D13*'Beer Revenue'!BB90</f>
        <v>96.777804994309818</v>
      </c>
      <c r="BB13" s="309">
        <f>$D13*'Beer Revenue'!BC90</f>
        <v>109.09498017540375</v>
      </c>
      <c r="BC13" s="309">
        <f>$D13*'Beer Revenue'!BD90</f>
        <v>96.777804994309818</v>
      </c>
      <c r="BD13" s="309">
        <f>$D13*'Beer Revenue'!BE90</f>
        <v>90.912483479503138</v>
      </c>
      <c r="BE13" s="309">
        <f>$D13*'Beer Revenue'!BF90</f>
        <v>113.64060434937893</v>
      </c>
      <c r="BF13" s="309">
        <f>$D13*'Beer Revenue'!BG90</f>
        <v>109.97477840262474</v>
      </c>
      <c r="BG13" s="309">
        <f>$D13*'Beer Revenue'!BH90</f>
        <v>109.09498017540375</v>
      </c>
      <c r="BH13" s="309">
        <f>$D13*'Beer Revenue'!BI90</f>
        <v>79.181840449889847</v>
      </c>
      <c r="BI13" s="309">
        <f>$D13*'Beer Revenue'!BJ90</f>
        <v>72.729986783602513</v>
      </c>
      <c r="BJ13" s="312">
        <f t="shared" si="7"/>
        <v>1072.5473555013318</v>
      </c>
      <c r="BK13" s="309">
        <f>$E13*'Beer Revenue'!BL90</f>
        <v>58.420361883928706</v>
      </c>
      <c r="BL13" s="309">
        <f>$E13*'Beer Revenue'!BM90</f>
        <v>62.110895497564002</v>
      </c>
      <c r="BM13" s="309">
        <f>$E13*'Beer Revenue'!BN90</f>
        <v>87.630542825893102</v>
      </c>
      <c r="BN13" s="309">
        <f>$E13*'Beer Revenue'!BO90</f>
        <v>103.64902914890583</v>
      </c>
      <c r="BO13" s="309">
        <f>$E13*'Beer Revenue'!BP90</f>
        <v>116.84072376785741</v>
      </c>
      <c r="BP13" s="309">
        <f>$E13*'Beer Revenue'!BQ90</f>
        <v>103.64902914890583</v>
      </c>
      <c r="BQ13" s="309">
        <f>$E13*'Beer Revenue'!BR90</f>
        <v>97.367269806547839</v>
      </c>
      <c r="BR13" s="309">
        <f>$E13*'Beer Revenue'!BS90</f>
        <v>121.70908725818484</v>
      </c>
      <c r="BS13" s="309">
        <f>$E13*'Beer Revenue'!BT90</f>
        <v>117.78298766921112</v>
      </c>
      <c r="BT13" s="309">
        <f>$E13*'Beer Revenue'!BU90</f>
        <v>116.84072376785741</v>
      </c>
      <c r="BU13" s="309">
        <f>$E13*'Beer Revenue'!BV90</f>
        <v>84.803751121832036</v>
      </c>
      <c r="BV13" s="309">
        <f>$E13*'Beer Revenue'!BW90</f>
        <v>77.893815845238308</v>
      </c>
      <c r="BW13" s="312">
        <f t="shared" si="8"/>
        <v>1148.6982177419263</v>
      </c>
      <c r="BX13" s="312">
        <f t="shared" si="9"/>
        <v>4876.1586105903607</v>
      </c>
    </row>
    <row r="14" spans="1:76" ht="14.5">
      <c r="A14" s="284">
        <v>140</v>
      </c>
      <c r="B14" s="59">
        <f>A14*(1+Assumptions!$D$75)</f>
        <v>142.80000000000001</v>
      </c>
      <c r="C14" s="59">
        <f>B14*(1+Assumptions!$E$75)</f>
        <v>145.65600000000001</v>
      </c>
      <c r="D14" s="59">
        <f>C14*(1+Assumptions!$F$75)</f>
        <v>148.56912</v>
      </c>
      <c r="E14" s="59">
        <f>D14*(1+Assumptions!$G$75)</f>
        <v>151.54050240000001</v>
      </c>
      <c r="F14" s="2" t="str">
        <f>'Beer Revenue'!J19</f>
        <v>Rotating Sour</v>
      </c>
      <c r="G14" s="2"/>
      <c r="H14" s="2"/>
      <c r="I14" s="2"/>
      <c r="J14" s="2"/>
      <c r="K14" s="309">
        <f>$A14*'Beer Revenue'!L91</f>
        <v>67.722421874999995</v>
      </c>
      <c r="L14" s="309">
        <f>$A14*'Beer Revenue'!M91</f>
        <v>72.000585622479832</v>
      </c>
      <c r="M14" s="309">
        <f>$A14*'Beer Revenue'!N91</f>
        <v>101.58363281250003</v>
      </c>
      <c r="N14" s="309">
        <f>$A14*'Beer Revenue'!O91</f>
        <v>120.15268397177422</v>
      </c>
      <c r="O14" s="309">
        <f>$A14*'Beer Revenue'!P91</f>
        <v>135.44484374999999</v>
      </c>
      <c r="P14" s="309">
        <f>$A14*'Beer Revenue'!Q91</f>
        <v>120.15268397177422</v>
      </c>
      <c r="Q14" s="309">
        <f>$A14*'Beer Revenue'!R91</f>
        <v>112.87070312500002</v>
      </c>
      <c r="R14" s="309">
        <f>$A14*'Beer Revenue'!S91</f>
        <v>141.08837890625003</v>
      </c>
      <c r="S14" s="309">
        <f>$A14*'Beer Revenue'!T91</f>
        <v>136.53714087701613</v>
      </c>
      <c r="T14" s="309">
        <f>$A14*'Beer Revenue'!U91</f>
        <v>135.44484374999999</v>
      </c>
      <c r="U14" s="309">
        <f>$A14*'Beer Revenue'!V91</f>
        <v>98.306741431451627</v>
      </c>
      <c r="V14" s="309">
        <f>$A14*'Beer Revenue'!W91</f>
        <v>90.296562500000007</v>
      </c>
      <c r="W14" s="312">
        <f t="shared" si="4"/>
        <v>1331.6012225932459</v>
      </c>
      <c r="X14" s="317">
        <f>$B14*'Beer Revenue'!Y91</f>
        <v>79.438400859374994</v>
      </c>
      <c r="Y14" s="309">
        <f>$B14*'Beer Revenue'!Z91</f>
        <v>84.456686935168847</v>
      </c>
      <c r="Z14" s="309">
        <f>$B14*'Beer Revenue'!AA91</f>
        <v>119.15760128906251</v>
      </c>
      <c r="AA14" s="309">
        <f>$B14*'Beer Revenue'!AB91</f>
        <v>140.93909829889117</v>
      </c>
      <c r="AB14" s="309">
        <f>$B14*'Beer Revenue'!AC91</f>
        <v>158.87680171874999</v>
      </c>
      <c r="AC14" s="309">
        <f>$B14*'Beer Revenue'!AD91</f>
        <v>140.93909829889117</v>
      </c>
      <c r="AD14" s="309">
        <f>$B14*'Beer Revenue'!AE91</f>
        <v>132.397334765625</v>
      </c>
      <c r="AE14" s="309">
        <f>$B14*'Beer Revenue'!AF91</f>
        <v>165.49666845703126</v>
      </c>
      <c r="AF14" s="309">
        <f>$B14*'Beer Revenue'!AG91</f>
        <v>160.15806624873991</v>
      </c>
      <c r="AG14" s="309">
        <f>$B14*'Beer Revenue'!AH91</f>
        <v>158.87680171874999</v>
      </c>
      <c r="AH14" s="309">
        <f>$B14*'Beer Revenue'!AI91</f>
        <v>115.31380769909275</v>
      </c>
      <c r="AI14" s="309">
        <f>$B14*'Beer Revenue'!AJ91</f>
        <v>105.91786781250002</v>
      </c>
      <c r="AJ14" s="312">
        <f t="shared" si="5"/>
        <v>1561.9682341018774</v>
      </c>
      <c r="AK14" s="309">
        <f>$C14*'Beer Revenue'!AL91</f>
        <v>89.129885764218756</v>
      </c>
      <c r="AL14" s="309">
        <f>$C14*'Beer Revenue'!AM91</f>
        <v>94.760402741259455</v>
      </c>
      <c r="AM14" s="309">
        <f>$C14*'Beer Revenue'!AN91</f>
        <v>133.69482864632815</v>
      </c>
      <c r="AN14" s="309">
        <f>$C14*'Beer Revenue'!AO91</f>
        <v>158.13366829135586</v>
      </c>
      <c r="AO14" s="309">
        <f>$C14*'Beer Revenue'!AP91</f>
        <v>178.25977152843751</v>
      </c>
      <c r="AP14" s="309">
        <f>$C14*'Beer Revenue'!AQ91</f>
        <v>158.13366829135586</v>
      </c>
      <c r="AQ14" s="309">
        <f>$C14*'Beer Revenue'!AR91</f>
        <v>148.54980960703125</v>
      </c>
      <c r="AR14" s="309">
        <f>$C14*'Beer Revenue'!AS91</f>
        <v>185.68726200878908</v>
      </c>
      <c r="AS14" s="309">
        <f>$C14*'Beer Revenue'!AT91</f>
        <v>179.6973503310862</v>
      </c>
      <c r="AT14" s="309">
        <f>$C14*'Beer Revenue'!AU91</f>
        <v>178.25977152843751</v>
      </c>
      <c r="AU14" s="309">
        <f>$C14*'Beer Revenue'!AV91</f>
        <v>129.38209223838209</v>
      </c>
      <c r="AV14" s="309">
        <f>$C14*'Beer Revenue'!AW91</f>
        <v>118.83984768562502</v>
      </c>
      <c r="AW14" s="312">
        <f t="shared" si="6"/>
        <v>1752.5283586623068</v>
      </c>
      <c r="AX14" s="309">
        <f>$D14*'Beer Revenue'!AY91</f>
        <v>95.45810765347828</v>
      </c>
      <c r="AY14" s="309">
        <f>$D14*'Beer Revenue'!AZ91</f>
        <v>101.48839133588888</v>
      </c>
      <c r="AZ14" s="309">
        <f>$D14*'Beer Revenue'!BA91</f>
        <v>143.18716148021744</v>
      </c>
      <c r="BA14" s="309">
        <f>$D14*'Beer Revenue'!BB91</f>
        <v>169.36115874004219</v>
      </c>
      <c r="BB14" s="309">
        <f>$D14*'Beer Revenue'!BC91</f>
        <v>190.91621530695656</v>
      </c>
      <c r="BC14" s="309">
        <f>$D14*'Beer Revenue'!BD91</f>
        <v>169.36115874004219</v>
      </c>
      <c r="BD14" s="309">
        <f>$D14*'Beer Revenue'!BE91</f>
        <v>159.09684608913048</v>
      </c>
      <c r="BE14" s="309">
        <f>$D14*'Beer Revenue'!BF91</f>
        <v>198.87105761141311</v>
      </c>
      <c r="BF14" s="309">
        <f>$D14*'Beer Revenue'!BG91</f>
        <v>192.45586220459327</v>
      </c>
      <c r="BG14" s="309">
        <f>$D14*'Beer Revenue'!BH91</f>
        <v>190.91621530695656</v>
      </c>
      <c r="BH14" s="309">
        <f>$D14*'Beer Revenue'!BI91</f>
        <v>138.56822078730724</v>
      </c>
      <c r="BI14" s="309">
        <f>$D14*'Beer Revenue'!BJ91</f>
        <v>127.2774768713044</v>
      </c>
      <c r="BJ14" s="312">
        <f t="shared" si="7"/>
        <v>1876.9578721273303</v>
      </c>
      <c r="BK14" s="309">
        <f>$E14*'Beer Revenue'!BL91</f>
        <v>102.23563329687524</v>
      </c>
      <c r="BL14" s="309">
        <f>$E14*'Beer Revenue'!BM91</f>
        <v>108.69406712073699</v>
      </c>
      <c r="BM14" s="309">
        <f>$E14*'Beer Revenue'!BN91</f>
        <v>153.35344994531292</v>
      </c>
      <c r="BN14" s="309">
        <f>$E14*'Beer Revenue'!BO91</f>
        <v>181.3858010105852</v>
      </c>
      <c r="BO14" s="309">
        <f>$E14*'Beer Revenue'!BP91</f>
        <v>204.47126659375047</v>
      </c>
      <c r="BP14" s="309">
        <f>$E14*'Beer Revenue'!BQ91</f>
        <v>181.3858010105852</v>
      </c>
      <c r="BQ14" s="309">
        <f>$E14*'Beer Revenue'!BR91</f>
        <v>170.39272216145872</v>
      </c>
      <c r="BR14" s="309">
        <f>$E14*'Beer Revenue'!BS91</f>
        <v>212.99090270182344</v>
      </c>
      <c r="BS14" s="309">
        <f>$E14*'Beer Revenue'!BT91</f>
        <v>206.12022842111944</v>
      </c>
      <c r="BT14" s="309">
        <f>$E14*'Beer Revenue'!BU91</f>
        <v>204.47126659375047</v>
      </c>
      <c r="BU14" s="309">
        <f>$E14*'Beer Revenue'!BV91</f>
        <v>148.40656446320605</v>
      </c>
      <c r="BV14" s="309">
        <f>$E14*'Beer Revenue'!BW91</f>
        <v>136.31417772916703</v>
      </c>
      <c r="BW14" s="312">
        <f t="shared" si="8"/>
        <v>2010.2218810483712</v>
      </c>
      <c r="BX14" s="312">
        <f t="shared" si="9"/>
        <v>8533.2775685331326</v>
      </c>
    </row>
    <row r="15" spans="1:76" ht="14.5">
      <c r="A15" s="284">
        <v>90</v>
      </c>
      <c r="B15" s="59">
        <f>A15*(1+Assumptions!$D$75)</f>
        <v>91.8</v>
      </c>
      <c r="C15" s="59">
        <f>B15*(1+Assumptions!$E$75)</f>
        <v>93.635999999999996</v>
      </c>
      <c r="D15" s="59">
        <f>C15*(1+Assumptions!$F$75)</f>
        <v>95.508719999999997</v>
      </c>
      <c r="E15" s="59">
        <f>D15*(1+Assumptions!$G$75)</f>
        <v>97.418894399999999</v>
      </c>
      <c r="F15" s="2" t="str">
        <f>'Beer Revenue'!J20</f>
        <v>Seasonal #1</v>
      </c>
      <c r="G15" s="2"/>
      <c r="H15" s="2"/>
      <c r="I15" s="2"/>
      <c r="J15" s="2"/>
      <c r="K15" s="309">
        <f>$A15*'Beer Revenue'!L92</f>
        <v>106.00031250000001</v>
      </c>
      <c r="L15" s="309">
        <f>$A15*'Beer Revenue'!M92</f>
        <v>112.6965688004032</v>
      </c>
      <c r="M15" s="309">
        <f>$A15*'Beer Revenue'!N92</f>
        <v>159.00046875000001</v>
      </c>
      <c r="N15" s="309">
        <f>$A15*'Beer Revenue'!O92</f>
        <v>188.06507056451619</v>
      </c>
      <c r="O15" s="309">
        <f>$A15*'Beer Revenue'!P92</f>
        <v>212.00062500000001</v>
      </c>
      <c r="P15" s="309">
        <f>$A15*'Beer Revenue'!Q92</f>
        <v>188.06507056451619</v>
      </c>
      <c r="Q15" s="309">
        <f>$A15*'Beer Revenue'!R92</f>
        <v>176.66718750000004</v>
      </c>
      <c r="R15" s="309">
        <f>$A15*'Beer Revenue'!S92</f>
        <v>220.83398437500003</v>
      </c>
      <c r="S15" s="309">
        <f>$A15*'Beer Revenue'!T92</f>
        <v>213.71030745967741</v>
      </c>
      <c r="T15" s="309">
        <f>$A15*'Beer Revenue'!U92</f>
        <v>212.00062500000001</v>
      </c>
      <c r="U15" s="309">
        <f>$A15*'Beer Revenue'!V92</f>
        <v>153.87142137096774</v>
      </c>
      <c r="V15" s="309">
        <f>$A15*'Beer Revenue'!W92</f>
        <v>141.33375000000001</v>
      </c>
      <c r="W15" s="312">
        <f t="shared" si="4"/>
        <v>2084.2453918850806</v>
      </c>
      <c r="X15" s="317">
        <f>$B15*'Beer Revenue'!Y92</f>
        <v>124.33836656249998</v>
      </c>
      <c r="Y15" s="309">
        <f>$B15*'Beer Revenue'!Z92</f>
        <v>132.19307520287296</v>
      </c>
      <c r="Z15" s="309">
        <f>$B15*'Beer Revenue'!AA92</f>
        <v>186.50754984374998</v>
      </c>
      <c r="AA15" s="309">
        <f>$B15*'Beer Revenue'!AB92</f>
        <v>220.60032777217745</v>
      </c>
      <c r="AB15" s="309">
        <f>$B15*'Beer Revenue'!AC92</f>
        <v>248.67673312499997</v>
      </c>
      <c r="AC15" s="309">
        <f>$B15*'Beer Revenue'!AD92</f>
        <v>220.60032777217745</v>
      </c>
      <c r="AD15" s="309">
        <f>$B15*'Beer Revenue'!AE92</f>
        <v>207.23061093749999</v>
      </c>
      <c r="AE15" s="309">
        <f>$B15*'Beer Revenue'!AF92</f>
        <v>259.03826367187503</v>
      </c>
      <c r="AF15" s="309">
        <f>$B15*'Beer Revenue'!AG92</f>
        <v>250.68219065020153</v>
      </c>
      <c r="AG15" s="309">
        <f>$B15*'Beer Revenue'!AH92</f>
        <v>248.67673312499997</v>
      </c>
      <c r="AH15" s="309">
        <f>$B15*'Beer Revenue'!AI92</f>
        <v>180.49117726814515</v>
      </c>
      <c r="AI15" s="309">
        <f>$B15*'Beer Revenue'!AJ92</f>
        <v>165.78448875000001</v>
      </c>
      <c r="AJ15" s="312">
        <f t="shared" si="5"/>
        <v>2444.8198446811998</v>
      </c>
      <c r="AK15" s="309">
        <f>$C15*'Beer Revenue'!AL92</f>
        <v>139.50764728312498</v>
      </c>
      <c r="AL15" s="309">
        <f>$C15*'Beer Revenue'!AM92</f>
        <v>148.32063037762347</v>
      </c>
      <c r="AM15" s="309">
        <f>$C15*'Beer Revenue'!AN92</f>
        <v>209.26147092468747</v>
      </c>
      <c r="AN15" s="309">
        <f>$C15*'Beer Revenue'!AO92</f>
        <v>247.51356776038313</v>
      </c>
      <c r="AO15" s="309">
        <f>$C15*'Beer Revenue'!AP92</f>
        <v>279.01529456624996</v>
      </c>
      <c r="AP15" s="309">
        <f>$C15*'Beer Revenue'!AQ92</f>
        <v>247.51356776038313</v>
      </c>
      <c r="AQ15" s="309">
        <f>$C15*'Beer Revenue'!AR92</f>
        <v>232.51274547187495</v>
      </c>
      <c r="AR15" s="309">
        <f>$C15*'Beer Revenue'!AS92</f>
        <v>290.64093183984374</v>
      </c>
      <c r="AS15" s="309">
        <f>$C15*'Beer Revenue'!AT92</f>
        <v>281.26541790952615</v>
      </c>
      <c r="AT15" s="309">
        <f>$C15*'Beer Revenue'!AU92</f>
        <v>279.01529456624996</v>
      </c>
      <c r="AU15" s="309">
        <f>$C15*'Beer Revenue'!AV92</f>
        <v>202.51110089485891</v>
      </c>
      <c r="AV15" s="309">
        <f>$C15*'Beer Revenue'!AW92</f>
        <v>186.01019637750002</v>
      </c>
      <c r="AW15" s="312">
        <f t="shared" si="6"/>
        <v>2743.0878657323055</v>
      </c>
      <c r="AX15" s="309">
        <f>$D15*'Beer Revenue'!AY92</f>
        <v>149.41269024022688</v>
      </c>
      <c r="AY15" s="309">
        <f>$D15*'Beer Revenue'!AZ92</f>
        <v>158.85139513443477</v>
      </c>
      <c r="AZ15" s="309">
        <f>$D15*'Beer Revenue'!BA92</f>
        <v>224.11903536034035</v>
      </c>
      <c r="BA15" s="309">
        <f>$D15*'Beer Revenue'!BB92</f>
        <v>265.08703107137029</v>
      </c>
      <c r="BB15" s="309">
        <f>$D15*'Beer Revenue'!BC92</f>
        <v>298.82538048045376</v>
      </c>
      <c r="BC15" s="309">
        <f>$D15*'Beer Revenue'!BD92</f>
        <v>265.08703107137029</v>
      </c>
      <c r="BD15" s="309">
        <f>$D15*'Beer Revenue'!BE92</f>
        <v>249.0211504003781</v>
      </c>
      <c r="BE15" s="309">
        <f>$D15*'Beer Revenue'!BF92</f>
        <v>311.27643800047269</v>
      </c>
      <c r="BF15" s="309">
        <f>$D15*'Beer Revenue'!BG92</f>
        <v>301.23526258110252</v>
      </c>
      <c r="BG15" s="309">
        <f>$D15*'Beer Revenue'!BH92</f>
        <v>298.82538048045376</v>
      </c>
      <c r="BH15" s="309">
        <f>$D15*'Beer Revenue'!BI92</f>
        <v>216.8893890583939</v>
      </c>
      <c r="BI15" s="309">
        <f>$D15*'Beer Revenue'!BJ92</f>
        <v>199.21692032030253</v>
      </c>
      <c r="BJ15" s="312">
        <f t="shared" si="7"/>
        <v>2937.8471041993002</v>
      </c>
      <c r="BK15" s="309">
        <f>$E15*'Beer Revenue'!BL92</f>
        <v>160.02099124728298</v>
      </c>
      <c r="BL15" s="309">
        <f>$E15*'Beer Revenue'!BM92</f>
        <v>170.12984418897963</v>
      </c>
      <c r="BM15" s="309">
        <f>$E15*'Beer Revenue'!BN92</f>
        <v>240.03148687092454</v>
      </c>
      <c r="BN15" s="309">
        <f>$E15*'Beer Revenue'!BO92</f>
        <v>283.90821027743772</v>
      </c>
      <c r="BO15" s="309">
        <f>$E15*'Beer Revenue'!BP92</f>
        <v>320.04198249456596</v>
      </c>
      <c r="BP15" s="309">
        <f>$E15*'Beer Revenue'!BQ92</f>
        <v>283.90821027743772</v>
      </c>
      <c r="BQ15" s="309">
        <f>$E15*'Beer Revenue'!BR92</f>
        <v>266.7016520788049</v>
      </c>
      <c r="BR15" s="309">
        <f>$E15*'Beer Revenue'!BS92</f>
        <v>333.37706509850625</v>
      </c>
      <c r="BS15" s="309">
        <f>$E15*'Beer Revenue'!BT92</f>
        <v>322.62296622436082</v>
      </c>
      <c r="BT15" s="309">
        <f>$E15*'Beer Revenue'!BU92</f>
        <v>320.04198249456596</v>
      </c>
      <c r="BU15" s="309">
        <f>$E15*'Beer Revenue'!BV92</f>
        <v>232.28853568153991</v>
      </c>
      <c r="BV15" s="309">
        <f>$E15*'Beer Revenue'!BW92</f>
        <v>213.36132166304398</v>
      </c>
      <c r="BW15" s="312">
        <f t="shared" si="8"/>
        <v>3146.4342485974507</v>
      </c>
      <c r="BX15" s="312">
        <f t="shared" si="9"/>
        <v>13356.434455095337</v>
      </c>
    </row>
    <row r="16" spans="1:76" ht="14.5">
      <c r="A16" s="284">
        <v>70</v>
      </c>
      <c r="B16" s="59">
        <f>A16*(1+Assumptions!$D$75)</f>
        <v>71.400000000000006</v>
      </c>
      <c r="C16" s="59">
        <f>B16*(1+Assumptions!$E$75)</f>
        <v>72.828000000000003</v>
      </c>
      <c r="D16" s="59">
        <f>C16*(1+Assumptions!$F$75)</f>
        <v>74.284559999999999</v>
      </c>
      <c r="E16" s="59">
        <f>D16*(1+Assumptions!$G$75)</f>
        <v>75.770251200000004</v>
      </c>
      <c r="F16" s="2" t="str">
        <f>'Beer Revenue'!J21</f>
        <v>Seasonal #2</v>
      </c>
      <c r="G16" s="2"/>
      <c r="H16" s="2"/>
      <c r="I16" s="2"/>
      <c r="J16" s="2"/>
      <c r="K16" s="309">
        <f>$A16*'Beer Revenue'!L93</f>
        <v>33.861210937499997</v>
      </c>
      <c r="L16" s="309">
        <f>$A16*'Beer Revenue'!M93</f>
        <v>36.000292811239916</v>
      </c>
      <c r="M16" s="309">
        <f>$A16*'Beer Revenue'!N93</f>
        <v>50.791816406250014</v>
      </c>
      <c r="N16" s="309">
        <f>$A16*'Beer Revenue'!O93</f>
        <v>60.076341985887112</v>
      </c>
      <c r="O16" s="309">
        <f>$A16*'Beer Revenue'!P93</f>
        <v>67.722421874999995</v>
      </c>
      <c r="P16" s="309">
        <f>$A16*'Beer Revenue'!Q93</f>
        <v>60.076341985887112</v>
      </c>
      <c r="Q16" s="309">
        <f>$A16*'Beer Revenue'!R93</f>
        <v>56.43535156250001</v>
      </c>
      <c r="R16" s="309">
        <f>$A16*'Beer Revenue'!S93</f>
        <v>70.544189453125014</v>
      </c>
      <c r="S16" s="309">
        <f>$A16*'Beer Revenue'!T93</f>
        <v>68.268570438508064</v>
      </c>
      <c r="T16" s="309">
        <f>$A16*'Beer Revenue'!U93</f>
        <v>67.722421874999995</v>
      </c>
      <c r="U16" s="309">
        <f>$A16*'Beer Revenue'!V93</f>
        <v>49.153370715725814</v>
      </c>
      <c r="V16" s="309">
        <f>$A16*'Beer Revenue'!W93</f>
        <v>45.148281250000004</v>
      </c>
      <c r="W16" s="312">
        <f t="shared" si="4"/>
        <v>665.80061129662295</v>
      </c>
      <c r="X16" s="317">
        <f>$B16*'Beer Revenue'!Y93</f>
        <v>39.719200429687497</v>
      </c>
      <c r="Y16" s="309">
        <f>$B16*'Beer Revenue'!Z93</f>
        <v>42.228343467584423</v>
      </c>
      <c r="Z16" s="309">
        <f>$B16*'Beer Revenue'!AA93</f>
        <v>59.578800644531256</v>
      </c>
      <c r="AA16" s="309">
        <f>$B16*'Beer Revenue'!AB93</f>
        <v>70.469549149445584</v>
      </c>
      <c r="AB16" s="309">
        <f>$B16*'Beer Revenue'!AC93</f>
        <v>79.438400859374994</v>
      </c>
      <c r="AC16" s="309">
        <f>$B16*'Beer Revenue'!AD93</f>
        <v>70.469549149445584</v>
      </c>
      <c r="AD16" s="309">
        <f>$B16*'Beer Revenue'!AE93</f>
        <v>66.198667382812502</v>
      </c>
      <c r="AE16" s="309">
        <f>$B16*'Beer Revenue'!AF93</f>
        <v>82.748334228515631</v>
      </c>
      <c r="AF16" s="309">
        <f>$B16*'Beer Revenue'!AG93</f>
        <v>80.079033124369957</v>
      </c>
      <c r="AG16" s="309">
        <f>$B16*'Beer Revenue'!AH93</f>
        <v>79.438400859374994</v>
      </c>
      <c r="AH16" s="309">
        <f>$B16*'Beer Revenue'!AI93</f>
        <v>57.656903849546374</v>
      </c>
      <c r="AI16" s="309">
        <f>$B16*'Beer Revenue'!AJ93</f>
        <v>52.95893390625001</v>
      </c>
      <c r="AJ16" s="312">
        <f t="shared" si="5"/>
        <v>780.98411705093872</v>
      </c>
      <c r="AK16" s="309">
        <f>$C16*'Beer Revenue'!AL93</f>
        <v>44.564942882109378</v>
      </c>
      <c r="AL16" s="309">
        <f>$C16*'Beer Revenue'!AM93</f>
        <v>47.380201370629727</v>
      </c>
      <c r="AM16" s="309">
        <f>$C16*'Beer Revenue'!AN93</f>
        <v>66.847414323164074</v>
      </c>
      <c r="AN16" s="309">
        <f>$C16*'Beer Revenue'!AO93</f>
        <v>79.06683414567793</v>
      </c>
      <c r="AO16" s="309">
        <f>$C16*'Beer Revenue'!AP93</f>
        <v>89.129885764218756</v>
      </c>
      <c r="AP16" s="309">
        <f>$C16*'Beer Revenue'!AQ93</f>
        <v>79.06683414567793</v>
      </c>
      <c r="AQ16" s="309">
        <f>$C16*'Beer Revenue'!AR93</f>
        <v>74.274904803515625</v>
      </c>
      <c r="AR16" s="309">
        <f>$C16*'Beer Revenue'!AS93</f>
        <v>92.843631004394538</v>
      </c>
      <c r="AS16" s="309">
        <f>$C16*'Beer Revenue'!AT93</f>
        <v>89.848675165543099</v>
      </c>
      <c r="AT16" s="309">
        <f>$C16*'Beer Revenue'!AU93</f>
        <v>89.129885764218756</v>
      </c>
      <c r="AU16" s="309">
        <f>$C16*'Beer Revenue'!AV93</f>
        <v>64.691046119191043</v>
      </c>
      <c r="AV16" s="309">
        <f>$C16*'Beer Revenue'!AW93</f>
        <v>59.419923842812508</v>
      </c>
      <c r="AW16" s="312">
        <f t="shared" si="6"/>
        <v>876.2641793311534</v>
      </c>
      <c r="AX16" s="309">
        <f>$D16*'Beer Revenue'!AY93</f>
        <v>47.72905382673914</v>
      </c>
      <c r="AY16" s="309">
        <f>$D16*'Beer Revenue'!AZ93</f>
        <v>50.744195667944439</v>
      </c>
      <c r="AZ16" s="309">
        <f>$D16*'Beer Revenue'!BA93</f>
        <v>71.59358074010872</v>
      </c>
      <c r="BA16" s="309">
        <f>$D16*'Beer Revenue'!BB93</f>
        <v>84.680579370021093</v>
      </c>
      <c r="BB16" s="309">
        <f>$D16*'Beer Revenue'!BC93</f>
        <v>95.45810765347828</v>
      </c>
      <c r="BC16" s="309">
        <f>$D16*'Beer Revenue'!BD93</f>
        <v>84.680579370021093</v>
      </c>
      <c r="BD16" s="309">
        <f>$D16*'Beer Revenue'!BE93</f>
        <v>79.54842304456524</v>
      </c>
      <c r="BE16" s="309">
        <f>$D16*'Beer Revenue'!BF93</f>
        <v>99.435528805706554</v>
      </c>
      <c r="BF16" s="309">
        <f>$D16*'Beer Revenue'!BG93</f>
        <v>96.227931102296637</v>
      </c>
      <c r="BG16" s="309">
        <f>$D16*'Beer Revenue'!BH93</f>
        <v>95.45810765347828</v>
      </c>
      <c r="BH16" s="309">
        <f>$D16*'Beer Revenue'!BI93</f>
        <v>69.28411039365362</v>
      </c>
      <c r="BI16" s="309">
        <f>$D16*'Beer Revenue'!BJ93</f>
        <v>63.638738435652201</v>
      </c>
      <c r="BJ16" s="312">
        <f t="shared" si="7"/>
        <v>938.47893606366517</v>
      </c>
      <c r="BK16" s="309">
        <f>$E16*'Beer Revenue'!BL93</f>
        <v>51.117816648437618</v>
      </c>
      <c r="BL16" s="309">
        <f>$E16*'Beer Revenue'!BM93</f>
        <v>54.347033560368494</v>
      </c>
      <c r="BM16" s="309">
        <f>$E16*'Beer Revenue'!BN93</f>
        <v>76.676724972656459</v>
      </c>
      <c r="BN16" s="309">
        <f>$E16*'Beer Revenue'!BO93</f>
        <v>90.692900505292599</v>
      </c>
      <c r="BO16" s="309">
        <f>$E16*'Beer Revenue'!BP93</f>
        <v>102.23563329687524</v>
      </c>
      <c r="BP16" s="309">
        <f>$E16*'Beer Revenue'!BQ93</f>
        <v>90.692900505292599</v>
      </c>
      <c r="BQ16" s="309">
        <f>$E16*'Beer Revenue'!BR93</f>
        <v>85.196361080729361</v>
      </c>
      <c r="BR16" s="309">
        <f>$E16*'Beer Revenue'!BS93</f>
        <v>106.49545135091172</v>
      </c>
      <c r="BS16" s="309">
        <f>$E16*'Beer Revenue'!BT93</f>
        <v>103.06011421055972</v>
      </c>
      <c r="BT16" s="309">
        <f>$E16*'Beer Revenue'!BU93</f>
        <v>102.23563329687524</v>
      </c>
      <c r="BU16" s="309">
        <f>$E16*'Beer Revenue'!BV93</f>
        <v>74.203282231603026</v>
      </c>
      <c r="BV16" s="309">
        <f>$E16*'Beer Revenue'!BW93</f>
        <v>68.157088864583514</v>
      </c>
      <c r="BW16" s="312">
        <f t="shared" si="8"/>
        <v>1005.1109405241856</v>
      </c>
      <c r="BX16" s="312">
        <f t="shared" si="9"/>
        <v>4266.6387842665663</v>
      </c>
    </row>
    <row r="17" spans="1:76" ht="14.5">
      <c r="A17" s="284">
        <v>100</v>
      </c>
      <c r="B17" s="59">
        <f>A17*(1+Assumptions!$D$75)</f>
        <v>102</v>
      </c>
      <c r="C17" s="59">
        <f>B17*(1+Assumptions!$E$75)</f>
        <v>104.04</v>
      </c>
      <c r="D17" s="59">
        <f>C17*(1+Assumptions!$F$75)</f>
        <v>106.1208</v>
      </c>
      <c r="E17" s="59">
        <f>D17*(1+Assumptions!$G$75)</f>
        <v>108.243216</v>
      </c>
      <c r="F17" s="2" t="str">
        <f>'Beer Revenue'!J22</f>
        <v>Rotating IPA #1</v>
      </c>
      <c r="G17" s="2"/>
      <c r="H17" s="2"/>
      <c r="I17" s="2"/>
      <c r="J17" s="2"/>
      <c r="K17" s="309">
        <f>$A17*'Beer Revenue'!L94</f>
        <v>48.373158482142856</v>
      </c>
      <c r="L17" s="309">
        <f>$A17*'Beer Revenue'!M94</f>
        <v>51.428989730342735</v>
      </c>
      <c r="M17" s="309">
        <f>$A17*'Beer Revenue'!N94</f>
        <v>72.559737723214297</v>
      </c>
      <c r="N17" s="309">
        <f>$A17*'Beer Revenue'!O94</f>
        <v>85.823345694124441</v>
      </c>
      <c r="O17" s="309">
        <f>$A17*'Beer Revenue'!P94</f>
        <v>96.746316964285711</v>
      </c>
      <c r="P17" s="309">
        <f>$A17*'Beer Revenue'!Q94</f>
        <v>85.823345694124441</v>
      </c>
      <c r="Q17" s="309">
        <f>$A17*'Beer Revenue'!R94</f>
        <v>80.621930803571445</v>
      </c>
      <c r="R17" s="309">
        <f>$A17*'Beer Revenue'!S94</f>
        <v>100.77741350446429</v>
      </c>
      <c r="S17" s="309">
        <f>$A17*'Beer Revenue'!T94</f>
        <v>97.526529197868655</v>
      </c>
      <c r="T17" s="309">
        <f>$A17*'Beer Revenue'!U94</f>
        <v>96.746316964285711</v>
      </c>
      <c r="U17" s="309">
        <f>$A17*'Beer Revenue'!V94</f>
        <v>70.219101022465452</v>
      </c>
      <c r="V17" s="309">
        <f>$A17*'Beer Revenue'!W94</f>
        <v>64.49754464285715</v>
      </c>
      <c r="W17" s="312">
        <f t="shared" si="4"/>
        <v>951.14373042374723</v>
      </c>
      <c r="X17" s="317">
        <f>$B17*'Beer Revenue'!Y94</f>
        <v>56.741714899553564</v>
      </c>
      <c r="Y17" s="309">
        <f>$B17*'Beer Revenue'!Z94</f>
        <v>60.326204953692027</v>
      </c>
      <c r="Z17" s="309">
        <f>$B17*'Beer Revenue'!AA94</f>
        <v>85.112572349330364</v>
      </c>
      <c r="AA17" s="309">
        <f>$B17*'Beer Revenue'!AB94</f>
        <v>100.67078449920797</v>
      </c>
      <c r="AB17" s="309">
        <f>$B17*'Beer Revenue'!AC94</f>
        <v>113.48342979910713</v>
      </c>
      <c r="AC17" s="309">
        <f>$B17*'Beer Revenue'!AD94</f>
        <v>100.67078449920797</v>
      </c>
      <c r="AD17" s="309">
        <f>$B17*'Beer Revenue'!AE94</f>
        <v>94.569524832589295</v>
      </c>
      <c r="AE17" s="309">
        <f>$B17*'Beer Revenue'!AF94</f>
        <v>118.21190604073661</v>
      </c>
      <c r="AF17" s="309">
        <f>$B17*'Beer Revenue'!AG94</f>
        <v>114.39861874909992</v>
      </c>
      <c r="AG17" s="309">
        <f>$B17*'Beer Revenue'!AH94</f>
        <v>113.48342979910713</v>
      </c>
      <c r="AH17" s="309">
        <f>$B17*'Beer Revenue'!AI94</f>
        <v>82.367005499351961</v>
      </c>
      <c r="AI17" s="309">
        <f>$B17*'Beer Revenue'!AJ94</f>
        <v>75.655619866071433</v>
      </c>
      <c r="AJ17" s="312">
        <f t="shared" si="5"/>
        <v>1115.6915957870553</v>
      </c>
      <c r="AK17" s="309">
        <f>$C17*'Beer Revenue'!AL94</f>
        <v>63.664204117299114</v>
      </c>
      <c r="AL17" s="309">
        <f>$C17*'Beer Revenue'!AM94</f>
        <v>67.686001958042468</v>
      </c>
      <c r="AM17" s="309">
        <f>$C17*'Beer Revenue'!AN94</f>
        <v>95.496306175948675</v>
      </c>
      <c r="AN17" s="309">
        <f>$C17*'Beer Revenue'!AO94</f>
        <v>112.95262020811134</v>
      </c>
      <c r="AO17" s="309">
        <f>$C17*'Beer Revenue'!AP94</f>
        <v>127.32840823459823</v>
      </c>
      <c r="AP17" s="309">
        <f>$C17*'Beer Revenue'!AQ94</f>
        <v>112.95262020811134</v>
      </c>
      <c r="AQ17" s="309">
        <f>$C17*'Beer Revenue'!AR94</f>
        <v>106.10700686216516</v>
      </c>
      <c r="AR17" s="309">
        <f>$C17*'Beer Revenue'!AS94</f>
        <v>132.63375857770649</v>
      </c>
      <c r="AS17" s="309">
        <f>$C17*'Beer Revenue'!AT94</f>
        <v>128.35525023649015</v>
      </c>
      <c r="AT17" s="309">
        <f>$C17*'Beer Revenue'!AU94</f>
        <v>127.32840823459823</v>
      </c>
      <c r="AU17" s="309">
        <f>$C17*'Beer Revenue'!AV94</f>
        <v>92.415780170272924</v>
      </c>
      <c r="AV17" s="309">
        <f>$C17*'Beer Revenue'!AW94</f>
        <v>84.885605489732157</v>
      </c>
      <c r="AW17" s="312">
        <f t="shared" si="6"/>
        <v>1251.8059704730763</v>
      </c>
      <c r="AX17" s="309">
        <f>$D17*'Beer Revenue'!AY94</f>
        <v>68.184362609627343</v>
      </c>
      <c r="AY17" s="309">
        <f>$D17*'Beer Revenue'!AZ94</f>
        <v>72.49170809706348</v>
      </c>
      <c r="AZ17" s="309">
        <f>$D17*'Beer Revenue'!BA94</f>
        <v>102.27654391444104</v>
      </c>
      <c r="BA17" s="309">
        <f>$D17*'Beer Revenue'!BB94</f>
        <v>120.97225624288727</v>
      </c>
      <c r="BB17" s="309">
        <f>$D17*'Beer Revenue'!BC94</f>
        <v>136.36872521925469</v>
      </c>
      <c r="BC17" s="309">
        <f>$D17*'Beer Revenue'!BD94</f>
        <v>120.97225624288727</v>
      </c>
      <c r="BD17" s="309">
        <f>$D17*'Beer Revenue'!BE94</f>
        <v>113.64060434937892</v>
      </c>
      <c r="BE17" s="309">
        <f>$D17*'Beer Revenue'!BF94</f>
        <v>142.05075543672368</v>
      </c>
      <c r="BF17" s="309">
        <f>$D17*'Beer Revenue'!BG94</f>
        <v>137.46847300328093</v>
      </c>
      <c r="BG17" s="309">
        <f>$D17*'Beer Revenue'!BH94</f>
        <v>136.36872521925469</v>
      </c>
      <c r="BH17" s="309">
        <f>$D17*'Beer Revenue'!BI94</f>
        <v>98.977300562362302</v>
      </c>
      <c r="BI17" s="309">
        <f>$D17*'Beer Revenue'!BJ94</f>
        <v>90.912483479503152</v>
      </c>
      <c r="BJ17" s="312">
        <f t="shared" si="7"/>
        <v>1340.6841943766647</v>
      </c>
      <c r="BK17" s="309">
        <f>$E17*'Beer Revenue'!BL94</f>
        <v>73.025452354910882</v>
      </c>
      <c r="BL17" s="309">
        <f>$E17*'Beer Revenue'!BM94</f>
        <v>77.638619371954988</v>
      </c>
      <c r="BM17" s="309">
        <f>$E17*'Beer Revenue'!BN94</f>
        <v>109.53817853236636</v>
      </c>
      <c r="BN17" s="309">
        <f>$E17*'Beer Revenue'!BO94</f>
        <v>129.56128643613226</v>
      </c>
      <c r="BO17" s="309">
        <f>$E17*'Beer Revenue'!BP94</f>
        <v>146.05090470982176</v>
      </c>
      <c r="BP17" s="309">
        <f>$E17*'Beer Revenue'!BQ94</f>
        <v>129.56128643613226</v>
      </c>
      <c r="BQ17" s="309">
        <f>$E17*'Beer Revenue'!BR94</f>
        <v>121.70908725818479</v>
      </c>
      <c r="BR17" s="309">
        <f>$E17*'Beer Revenue'!BS94</f>
        <v>152.13635907273104</v>
      </c>
      <c r="BS17" s="309">
        <f>$E17*'Beer Revenue'!BT94</f>
        <v>147.22873458651389</v>
      </c>
      <c r="BT17" s="309">
        <f>$E17*'Beer Revenue'!BU94</f>
        <v>146.05090470982176</v>
      </c>
      <c r="BU17" s="309">
        <f>$E17*'Beer Revenue'!BV94</f>
        <v>106.00468890229004</v>
      </c>
      <c r="BV17" s="309">
        <f>$E17*'Beer Revenue'!BW94</f>
        <v>97.367269806547881</v>
      </c>
      <c r="BW17" s="312">
        <f t="shared" si="8"/>
        <v>1435.872772177408</v>
      </c>
      <c r="BX17" s="312">
        <f t="shared" si="9"/>
        <v>6095.1982632379513</v>
      </c>
    </row>
    <row r="18" spans="1:76" ht="14.5">
      <c r="A18" s="284">
        <v>130</v>
      </c>
      <c r="B18" s="59">
        <f>A18*(1+Assumptions!$D$75)</f>
        <v>132.6</v>
      </c>
      <c r="C18" s="59">
        <f>B18*(1+Assumptions!$E$75)</f>
        <v>135.25200000000001</v>
      </c>
      <c r="D18" s="59">
        <f>C18*(1+Assumptions!$F$75)</f>
        <v>137.95704000000001</v>
      </c>
      <c r="E18" s="59">
        <f>D18*(1+Assumptions!$G$75)</f>
        <v>140.71618080000002</v>
      </c>
      <c r="F18" s="2" t="str">
        <f>'Beer Revenue'!J23</f>
        <v>Rotating IPA #2</v>
      </c>
      <c r="G18" s="2"/>
      <c r="H18" s="2"/>
      <c r="I18" s="2"/>
      <c r="J18" s="2"/>
      <c r="K18" s="309">
        <f>$A18*'Beer Revenue'!L95</f>
        <v>94.32765904017856</v>
      </c>
      <c r="L18" s="309">
        <f>$A18*'Beer Revenue'!M95</f>
        <v>100.28652997416833</v>
      </c>
      <c r="M18" s="309">
        <f>$A18*'Beer Revenue'!N95</f>
        <v>141.49148856026787</v>
      </c>
      <c r="N18" s="309">
        <f>$A18*'Beer Revenue'!O95</f>
        <v>167.35552410354262</v>
      </c>
      <c r="O18" s="309">
        <f>$A18*'Beer Revenue'!P95</f>
        <v>188.65531808035712</v>
      </c>
      <c r="P18" s="309">
        <f>$A18*'Beer Revenue'!Q95</f>
        <v>167.35552410354262</v>
      </c>
      <c r="Q18" s="309">
        <f>$A18*'Beer Revenue'!R95</f>
        <v>157.21276506696427</v>
      </c>
      <c r="R18" s="309">
        <f>$A18*'Beer Revenue'!S95</f>
        <v>196.51595633370533</v>
      </c>
      <c r="S18" s="309">
        <f>$A18*'Beer Revenue'!T95</f>
        <v>190.17673193584386</v>
      </c>
      <c r="T18" s="309">
        <f>$A18*'Beer Revenue'!U95</f>
        <v>188.65531808035712</v>
      </c>
      <c r="U18" s="309">
        <f>$A18*'Beer Revenue'!V95</f>
        <v>136.92724699380759</v>
      </c>
      <c r="V18" s="309">
        <f>$A18*'Beer Revenue'!W95</f>
        <v>125.77021205357143</v>
      </c>
      <c r="W18" s="312">
        <f t="shared" si="4"/>
        <v>1854.7302743263067</v>
      </c>
      <c r="X18" s="317">
        <f>$B18*'Beer Revenue'!Y95</f>
        <v>110.64634405412943</v>
      </c>
      <c r="Y18" s="309">
        <f>$B18*'Beer Revenue'!Z95</f>
        <v>117.63609965969944</v>
      </c>
      <c r="Z18" s="309">
        <f>$B18*'Beer Revenue'!AA95</f>
        <v>165.9695160811942</v>
      </c>
      <c r="AA18" s="309">
        <f>$B18*'Beer Revenue'!AB95</f>
        <v>196.30802977345547</v>
      </c>
      <c r="AB18" s="309">
        <f>$B18*'Beer Revenue'!AC95</f>
        <v>221.29268810825886</v>
      </c>
      <c r="AC18" s="309">
        <f>$B18*'Beer Revenue'!AD95</f>
        <v>196.30802977345547</v>
      </c>
      <c r="AD18" s="309">
        <f>$B18*'Beer Revenue'!AE95</f>
        <v>184.41057342354907</v>
      </c>
      <c r="AE18" s="309">
        <f>$B18*'Beer Revenue'!AF95</f>
        <v>230.51321677943636</v>
      </c>
      <c r="AF18" s="309">
        <f>$B18*'Beer Revenue'!AG95</f>
        <v>223.07730656074483</v>
      </c>
      <c r="AG18" s="309">
        <f>$B18*'Beer Revenue'!AH95</f>
        <v>221.29268810825886</v>
      </c>
      <c r="AH18" s="309">
        <f>$B18*'Beer Revenue'!AI95</f>
        <v>160.61566072373631</v>
      </c>
      <c r="AI18" s="309">
        <f>$B18*'Beer Revenue'!AJ95</f>
        <v>147.52845873883925</v>
      </c>
      <c r="AJ18" s="312">
        <f t="shared" si="5"/>
        <v>2175.5986117847574</v>
      </c>
      <c r="AK18" s="309">
        <f>$C18*'Beer Revenue'!AL95</f>
        <v>124.14519802873325</v>
      </c>
      <c r="AL18" s="309">
        <f>$C18*'Beer Revenue'!AM95</f>
        <v>131.98770381818278</v>
      </c>
      <c r="AM18" s="309">
        <f>$C18*'Beer Revenue'!AN95</f>
        <v>186.21779704309992</v>
      </c>
      <c r="AN18" s="309">
        <f>$C18*'Beer Revenue'!AO95</f>
        <v>220.25760940581705</v>
      </c>
      <c r="AO18" s="309">
        <f>$C18*'Beer Revenue'!AP95</f>
        <v>248.29039605746649</v>
      </c>
      <c r="AP18" s="309">
        <f>$C18*'Beer Revenue'!AQ95</f>
        <v>220.25760940581705</v>
      </c>
      <c r="AQ18" s="309">
        <f>$C18*'Beer Revenue'!AR95</f>
        <v>206.90866338122211</v>
      </c>
      <c r="AR18" s="309">
        <f>$C18*'Beer Revenue'!AS95</f>
        <v>258.63582922652762</v>
      </c>
      <c r="AS18" s="309">
        <f>$C18*'Beer Revenue'!AT95</f>
        <v>250.29273796115575</v>
      </c>
      <c r="AT18" s="309">
        <f>$C18*'Beer Revenue'!AU95</f>
        <v>248.29039605746649</v>
      </c>
      <c r="AU18" s="309">
        <f>$C18*'Beer Revenue'!AV95</f>
        <v>180.21077133203215</v>
      </c>
      <c r="AV18" s="309">
        <f>$C18*'Beer Revenue'!AW95</f>
        <v>165.5269307049777</v>
      </c>
      <c r="AW18" s="312">
        <f t="shared" si="6"/>
        <v>2441.0216424224982</v>
      </c>
      <c r="AX18" s="309">
        <f>$D18*'Beer Revenue'!AY95</f>
        <v>132.95950708877334</v>
      </c>
      <c r="AY18" s="309">
        <f>$D18*'Beer Revenue'!AZ95</f>
        <v>141.35883078927378</v>
      </c>
      <c r="AZ18" s="309">
        <f>$D18*'Beer Revenue'!BA95</f>
        <v>199.43926063316002</v>
      </c>
      <c r="BA18" s="309">
        <f>$D18*'Beer Revenue'!BB95</f>
        <v>235.89589967363005</v>
      </c>
      <c r="BB18" s="309">
        <f>$D18*'Beer Revenue'!BC95</f>
        <v>265.91901417754667</v>
      </c>
      <c r="BC18" s="309">
        <f>$D18*'Beer Revenue'!BD95</f>
        <v>235.89589967363005</v>
      </c>
      <c r="BD18" s="309">
        <f>$D18*'Beer Revenue'!BE95</f>
        <v>221.59917848128887</v>
      </c>
      <c r="BE18" s="309">
        <f>$D18*'Beer Revenue'!BF95</f>
        <v>276.99897310161106</v>
      </c>
      <c r="BF18" s="309">
        <f>$D18*'Beer Revenue'!BG95</f>
        <v>268.06352235639781</v>
      </c>
      <c r="BG18" s="309">
        <f>$D18*'Beer Revenue'!BH95</f>
        <v>265.91901417754667</v>
      </c>
      <c r="BH18" s="309">
        <f>$D18*'Beer Revenue'!BI95</f>
        <v>193.00573609660646</v>
      </c>
      <c r="BI18" s="309">
        <f>$D18*'Beer Revenue'!BJ95</f>
        <v>177.2793427850311</v>
      </c>
      <c r="BJ18" s="312">
        <f t="shared" si="7"/>
        <v>2614.3341790344957</v>
      </c>
      <c r="BK18" s="309">
        <f>$E18*'Beer Revenue'!BL95</f>
        <v>142.39963209207625</v>
      </c>
      <c r="BL18" s="309">
        <f>$E18*'Beer Revenue'!BM95</f>
        <v>151.39530777531223</v>
      </c>
      <c r="BM18" s="309">
        <f>$E18*'Beer Revenue'!BN95</f>
        <v>213.59944813811438</v>
      </c>
      <c r="BN18" s="309">
        <f>$E18*'Beer Revenue'!BO95</f>
        <v>252.64450855045786</v>
      </c>
      <c r="BO18" s="309">
        <f>$E18*'Beer Revenue'!BP95</f>
        <v>284.79926418415249</v>
      </c>
      <c r="BP18" s="309">
        <f>$E18*'Beer Revenue'!BQ95</f>
        <v>252.64450855045786</v>
      </c>
      <c r="BQ18" s="309">
        <f>$E18*'Beer Revenue'!BR95</f>
        <v>237.33272015346043</v>
      </c>
      <c r="BR18" s="309">
        <f>$E18*'Beer Revenue'!BS95</f>
        <v>296.66590019182553</v>
      </c>
      <c r="BS18" s="309">
        <f>$E18*'Beer Revenue'!BT95</f>
        <v>287.09603244370209</v>
      </c>
      <c r="BT18" s="309">
        <f>$E18*'Beer Revenue'!BU95</f>
        <v>284.79926418415249</v>
      </c>
      <c r="BU18" s="309">
        <f>$E18*'Beer Revenue'!BV95</f>
        <v>206.70914335946554</v>
      </c>
      <c r="BV18" s="309">
        <f>$E18*'Beer Revenue'!BW95</f>
        <v>189.86617612276831</v>
      </c>
      <c r="BW18" s="312">
        <f t="shared" si="8"/>
        <v>2799.9519057459452</v>
      </c>
      <c r="BX18" s="312">
        <f t="shared" si="9"/>
        <v>11885.636613314004</v>
      </c>
    </row>
    <row r="19" spans="1:76" ht="14.5">
      <c r="A19" s="284">
        <v>225</v>
      </c>
      <c r="B19" s="59">
        <f>A19*(1+Assumptions!$D$75)</f>
        <v>229.5</v>
      </c>
      <c r="C19" s="59">
        <f>B19*(1+Assumptions!$E$75)</f>
        <v>234.09</v>
      </c>
      <c r="D19" s="59">
        <f>C19*(1+Assumptions!$F$75)</f>
        <v>238.77180000000001</v>
      </c>
      <c r="E19" s="59">
        <f>D19*(1+Assumptions!$G$75)</f>
        <v>243.54723600000003</v>
      </c>
      <c r="F19" s="2" t="str">
        <f>'Beer Revenue'!J24</f>
        <v>Special release</v>
      </c>
      <c r="G19" s="2"/>
      <c r="H19" s="2"/>
      <c r="I19" s="2"/>
      <c r="J19" s="2"/>
      <c r="K19" s="309">
        <f>$A19*'Beer Revenue'!L96</f>
        <v>42.589411272321428</v>
      </c>
      <c r="L19" s="309">
        <f>$A19*'Beer Revenue'!M96</f>
        <v>45.279871393019157</v>
      </c>
      <c r="M19" s="309">
        <f>$A19*'Beer Revenue'!N96</f>
        <v>63.884116908482149</v>
      </c>
      <c r="N19" s="309">
        <f>$A19*'Beer Revenue'!O96</f>
        <v>75.561858708957374</v>
      </c>
      <c r="O19" s="309">
        <f>$A19*'Beer Revenue'!P96</f>
        <v>85.178822544642856</v>
      </c>
      <c r="P19" s="309">
        <f>$A19*'Beer Revenue'!Q96</f>
        <v>75.561858708957374</v>
      </c>
      <c r="Q19" s="309">
        <f>$A19*'Beer Revenue'!R96</f>
        <v>70.982352120535722</v>
      </c>
      <c r="R19" s="309">
        <f>$A19*'Beer Revenue'!S96</f>
        <v>88.727940150669639</v>
      </c>
      <c r="S19" s="309">
        <f>$A19*'Beer Revenue'!T96</f>
        <v>85.865748532906096</v>
      </c>
      <c r="T19" s="309">
        <f>$A19*'Beer Revenue'!U96</f>
        <v>85.178822544642856</v>
      </c>
      <c r="U19" s="309">
        <f>$A19*'Beer Revenue'!V96</f>
        <v>61.823338943692399</v>
      </c>
      <c r="V19" s="309">
        <f>$A19*'Beer Revenue'!W96</f>
        <v>56.785881696428589</v>
      </c>
      <c r="W19" s="312">
        <f t="shared" si="4"/>
        <v>837.42002352525583</v>
      </c>
      <c r="X19" s="317">
        <f>$B19*'Beer Revenue'!Y96</f>
        <v>49.957379422433036</v>
      </c>
      <c r="Y19" s="309">
        <f>$B19*'Beer Revenue'!Z96</f>
        <v>53.113289144011461</v>
      </c>
      <c r="Z19" s="309">
        <f>$B19*'Beer Revenue'!AA96</f>
        <v>74.936069133649539</v>
      </c>
      <c r="AA19" s="309">
        <f>$B19*'Beer Revenue'!AB96</f>
        <v>88.634060265607005</v>
      </c>
      <c r="AB19" s="309">
        <f>$B19*'Beer Revenue'!AC96</f>
        <v>99.914758844866071</v>
      </c>
      <c r="AC19" s="309">
        <f>$B19*'Beer Revenue'!AD96</f>
        <v>88.634060265607005</v>
      </c>
      <c r="AD19" s="309">
        <f>$B19*'Beer Revenue'!AE96</f>
        <v>83.262299037388388</v>
      </c>
      <c r="AE19" s="309">
        <f>$B19*'Beer Revenue'!AF96</f>
        <v>104.07787379673549</v>
      </c>
      <c r="AF19" s="309">
        <f>$B19*'Beer Revenue'!AG96</f>
        <v>100.72052302909884</v>
      </c>
      <c r="AG19" s="309">
        <f>$B19*'Beer Revenue'!AH96</f>
        <v>99.914758844866071</v>
      </c>
      <c r="AH19" s="309">
        <f>$B19*'Beer Revenue'!AI96</f>
        <v>72.518776580951197</v>
      </c>
      <c r="AI19" s="309">
        <f>$B19*'Beer Revenue'!AJ96</f>
        <v>66.609839229910719</v>
      </c>
      <c r="AJ19" s="312">
        <f t="shared" si="5"/>
        <v>982.29368759512477</v>
      </c>
      <c r="AK19" s="309">
        <f>$C19*'Beer Revenue'!AL96</f>
        <v>56.05217971196987</v>
      </c>
      <c r="AL19" s="309">
        <f>$C19*'Beer Revenue'!AM96</f>
        <v>59.59311041958086</v>
      </c>
      <c r="AM19" s="309">
        <f>$C19*'Beer Revenue'!AN96</f>
        <v>84.078269567954806</v>
      </c>
      <c r="AN19" s="309">
        <f>$C19*'Beer Revenue'!AO96</f>
        <v>99.447415618011064</v>
      </c>
      <c r="AO19" s="309">
        <f>$C19*'Beer Revenue'!AP96</f>
        <v>112.10435942393974</v>
      </c>
      <c r="AP19" s="309">
        <f>$C19*'Beer Revenue'!AQ96</f>
        <v>99.447415618011064</v>
      </c>
      <c r="AQ19" s="309">
        <f>$C19*'Beer Revenue'!AR96</f>
        <v>93.420299519949793</v>
      </c>
      <c r="AR19" s="309">
        <f>$C19*'Beer Revenue'!AS96</f>
        <v>116.77537439993723</v>
      </c>
      <c r="AS19" s="309">
        <f>$C19*'Beer Revenue'!AT96</f>
        <v>113.00842683864892</v>
      </c>
      <c r="AT19" s="309">
        <f>$C19*'Beer Revenue'!AU96</f>
        <v>112.10435942393974</v>
      </c>
      <c r="AU19" s="309">
        <f>$C19*'Beer Revenue'!AV96</f>
        <v>81.366067323827238</v>
      </c>
      <c r="AV19" s="309">
        <f>$C19*'Beer Revenue'!AW96</f>
        <v>74.736239615959832</v>
      </c>
      <c r="AW19" s="312">
        <f t="shared" si="6"/>
        <v>1102.1335174817302</v>
      </c>
      <c r="AX19" s="309">
        <f>$D19*'Beer Revenue'!AY96</f>
        <v>60.031884471519724</v>
      </c>
      <c r="AY19" s="309">
        <f>$D19*'Beer Revenue'!AZ96</f>
        <v>63.824221259371114</v>
      </c>
      <c r="AZ19" s="309">
        <f>$D19*'Beer Revenue'!BA96</f>
        <v>90.047826707279611</v>
      </c>
      <c r="BA19" s="309">
        <f>$D19*'Beer Revenue'!BB96</f>
        <v>106.50818212688988</v>
      </c>
      <c r="BB19" s="309">
        <f>$D19*'Beer Revenue'!BC96</f>
        <v>120.06376894303945</v>
      </c>
      <c r="BC19" s="309">
        <f>$D19*'Beer Revenue'!BD96</f>
        <v>106.50818212688988</v>
      </c>
      <c r="BD19" s="309">
        <f>$D19*'Beer Revenue'!BE96</f>
        <v>100.05314078586622</v>
      </c>
      <c r="BE19" s="309">
        <f>$D19*'Beer Revenue'!BF96</f>
        <v>125.06642598233279</v>
      </c>
      <c r="BF19" s="309">
        <f>$D19*'Beer Revenue'!BG96</f>
        <v>121.03202514419299</v>
      </c>
      <c r="BG19" s="309">
        <f>$D19*'Beer Revenue'!BH96</f>
        <v>120.06376894303945</v>
      </c>
      <c r="BH19" s="309">
        <f>$D19*'Beer Revenue'!BI96</f>
        <v>87.143058103818987</v>
      </c>
      <c r="BI19" s="309">
        <f>$D19*'Beer Revenue'!BJ96</f>
        <v>80.04251262869299</v>
      </c>
      <c r="BJ19" s="312">
        <f t="shared" si="7"/>
        <v>1180.3849972229332</v>
      </c>
      <c r="BK19" s="309">
        <f>$E19*'Beer Revenue'!BL96</f>
        <v>64.294148268997631</v>
      </c>
      <c r="BL19" s="309">
        <f>$E19*'Beer Revenue'!BM96</f>
        <v>68.355740968786463</v>
      </c>
      <c r="BM19" s="309">
        <f>$E19*'Beer Revenue'!BN96</f>
        <v>96.441222403496468</v>
      </c>
      <c r="BN19" s="309">
        <f>$E19*'Beer Revenue'!BO96</f>
        <v>114.07026305789907</v>
      </c>
      <c r="BO19" s="309">
        <f>$E19*'Beer Revenue'!BP96</f>
        <v>128.58829653799526</v>
      </c>
      <c r="BP19" s="309">
        <f>$E19*'Beer Revenue'!BQ96</f>
        <v>114.07026305789907</v>
      </c>
      <c r="BQ19" s="309">
        <f>$E19*'Beer Revenue'!BR96</f>
        <v>107.15691378166272</v>
      </c>
      <c r="BR19" s="309">
        <f>$E19*'Beer Revenue'!BS96</f>
        <v>133.94614222707844</v>
      </c>
      <c r="BS19" s="309">
        <f>$E19*'Beer Revenue'!BT96</f>
        <v>129.6252989294307</v>
      </c>
      <c r="BT19" s="309">
        <f>$E19*'Beer Revenue'!BU96</f>
        <v>128.58829653799526</v>
      </c>
      <c r="BU19" s="309">
        <f>$E19*'Beer Revenue'!BV96</f>
        <v>93.330215229190145</v>
      </c>
      <c r="BV19" s="309">
        <f>$E19*'Beer Revenue'!BW96</f>
        <v>85.725531025330199</v>
      </c>
      <c r="BW19" s="312">
        <f t="shared" si="8"/>
        <v>1264.1923320257615</v>
      </c>
      <c r="BX19" s="312">
        <f t="shared" si="9"/>
        <v>5366.4245578508053</v>
      </c>
    </row>
    <row r="20" spans="1:76" ht="14.5">
      <c r="A20" s="284"/>
      <c r="B20" s="59">
        <f>A20*(1+Assumptions!$D$75)</f>
        <v>0</v>
      </c>
      <c r="C20" s="59">
        <f>B20*(1+Assumptions!$E$75)</f>
        <v>0</v>
      </c>
      <c r="D20" s="59">
        <f>C20*(1+Assumptions!$F$75)</f>
        <v>0</v>
      </c>
      <c r="E20" s="59">
        <f>D20*(1+Assumptions!$G$75)</f>
        <v>0</v>
      </c>
      <c r="F20" s="2">
        <f>'Beer Revenue'!J25</f>
        <v>0</v>
      </c>
      <c r="G20" s="2"/>
      <c r="H20" s="2"/>
      <c r="I20" s="2"/>
      <c r="J20" s="2"/>
      <c r="K20" s="309">
        <f>$A20*'Beer Revenue'!L97</f>
        <v>0</v>
      </c>
      <c r="L20" s="309">
        <f>$A20*'Beer Revenue'!M97</f>
        <v>0</v>
      </c>
      <c r="M20" s="309">
        <f>$A20*'Beer Revenue'!N97</f>
        <v>0</v>
      </c>
      <c r="N20" s="309">
        <f>$A20*'Beer Revenue'!O97</f>
        <v>0</v>
      </c>
      <c r="O20" s="309">
        <f>$A20*'Beer Revenue'!P97</f>
        <v>0</v>
      </c>
      <c r="P20" s="309">
        <f>$A20*'Beer Revenue'!Q97</f>
        <v>0</v>
      </c>
      <c r="Q20" s="309">
        <f>$A20*'Beer Revenue'!R97</f>
        <v>0</v>
      </c>
      <c r="R20" s="309">
        <f>$A20*'Beer Revenue'!S97</f>
        <v>0</v>
      </c>
      <c r="S20" s="309">
        <f>$A20*'Beer Revenue'!T97</f>
        <v>0</v>
      </c>
      <c r="T20" s="309">
        <f>$A20*'Beer Revenue'!U97</f>
        <v>0</v>
      </c>
      <c r="U20" s="309">
        <f>$A20*'Beer Revenue'!V97</f>
        <v>0</v>
      </c>
      <c r="V20" s="309">
        <f>$A20*'Beer Revenue'!W97</f>
        <v>0</v>
      </c>
      <c r="W20" s="312">
        <f t="shared" si="4"/>
        <v>0</v>
      </c>
      <c r="X20" s="318">
        <f>$B20*'Beer Revenue'!Y97</f>
        <v>0</v>
      </c>
      <c r="Y20" s="310">
        <f>$B20*'Beer Revenue'!Z97</f>
        <v>0</v>
      </c>
      <c r="Z20" s="310">
        <f>$B20*'Beer Revenue'!AA97</f>
        <v>0</v>
      </c>
      <c r="AA20" s="310">
        <f>$B20*'Beer Revenue'!AB97</f>
        <v>0</v>
      </c>
      <c r="AB20" s="310">
        <f>$B20*'Beer Revenue'!AC97</f>
        <v>0</v>
      </c>
      <c r="AC20" s="310">
        <f>$B20*'Beer Revenue'!AD97</f>
        <v>0</v>
      </c>
      <c r="AD20" s="310">
        <f>$B20*'Beer Revenue'!AE97</f>
        <v>0</v>
      </c>
      <c r="AE20" s="310">
        <f>$B20*'Beer Revenue'!AF97</f>
        <v>0</v>
      </c>
      <c r="AF20" s="310">
        <f>$B20*'Beer Revenue'!AG97</f>
        <v>0</v>
      </c>
      <c r="AG20" s="310">
        <f>$B20*'Beer Revenue'!AH97</f>
        <v>0</v>
      </c>
      <c r="AH20" s="310">
        <f>$B20*'Beer Revenue'!AI97</f>
        <v>0</v>
      </c>
      <c r="AI20" s="310">
        <f>$B20*'Beer Revenue'!AJ97</f>
        <v>0</v>
      </c>
      <c r="AJ20" s="308">
        <f t="shared" si="5"/>
        <v>0</v>
      </c>
      <c r="AK20" s="309">
        <f>$C20*'Beer Revenue'!AL97</f>
        <v>0</v>
      </c>
      <c r="AL20" s="309">
        <f>$C20*'Beer Revenue'!AM97</f>
        <v>0</v>
      </c>
      <c r="AM20" s="309">
        <f>$C20*'Beer Revenue'!AN97</f>
        <v>0</v>
      </c>
      <c r="AN20" s="309">
        <f>$C20*'Beer Revenue'!AO97</f>
        <v>0</v>
      </c>
      <c r="AO20" s="309">
        <f>$C20*'Beer Revenue'!AP97</f>
        <v>0</v>
      </c>
      <c r="AP20" s="309">
        <f>$C20*'Beer Revenue'!AQ97</f>
        <v>0</v>
      </c>
      <c r="AQ20" s="309">
        <f>$C20*'Beer Revenue'!AR97</f>
        <v>0</v>
      </c>
      <c r="AR20" s="309">
        <f>$C20*'Beer Revenue'!AS97</f>
        <v>0</v>
      </c>
      <c r="AS20" s="309">
        <f>$C20*'Beer Revenue'!AT97</f>
        <v>0</v>
      </c>
      <c r="AT20" s="309">
        <f>$C20*'Beer Revenue'!AU97</f>
        <v>0</v>
      </c>
      <c r="AU20" s="309">
        <f>$C20*'Beer Revenue'!AV97</f>
        <v>0</v>
      </c>
      <c r="AV20" s="309">
        <f>$C20*'Beer Revenue'!AW97</f>
        <v>0</v>
      </c>
      <c r="AW20" s="312">
        <f t="shared" si="6"/>
        <v>0</v>
      </c>
      <c r="AX20" s="309">
        <f>$D20*'Beer Revenue'!AY97</f>
        <v>0</v>
      </c>
      <c r="AY20" s="309">
        <f>$D20*'Beer Revenue'!AZ97</f>
        <v>0</v>
      </c>
      <c r="AZ20" s="309">
        <f>$D20*'Beer Revenue'!BA97</f>
        <v>0</v>
      </c>
      <c r="BA20" s="309">
        <f>$D20*'Beer Revenue'!BB97</f>
        <v>0</v>
      </c>
      <c r="BB20" s="309">
        <f>$D20*'Beer Revenue'!BC97</f>
        <v>0</v>
      </c>
      <c r="BC20" s="309">
        <f>$D20*'Beer Revenue'!BD97</f>
        <v>0</v>
      </c>
      <c r="BD20" s="309">
        <f>$D20*'Beer Revenue'!BE97</f>
        <v>0</v>
      </c>
      <c r="BE20" s="309">
        <f>$D20*'Beer Revenue'!BF97</f>
        <v>0</v>
      </c>
      <c r="BF20" s="309">
        <f>$D20*'Beer Revenue'!BG97</f>
        <v>0</v>
      </c>
      <c r="BG20" s="309">
        <f>$D20*'Beer Revenue'!BH97</f>
        <v>0</v>
      </c>
      <c r="BH20" s="309">
        <f>$D20*'Beer Revenue'!BI97</f>
        <v>0</v>
      </c>
      <c r="BI20" s="309">
        <f>$D20*'Beer Revenue'!BJ97</f>
        <v>0</v>
      </c>
      <c r="BJ20" s="312">
        <f t="shared" si="7"/>
        <v>0</v>
      </c>
      <c r="BK20" s="309">
        <f>$E20*'Beer Revenue'!BL97</f>
        <v>0</v>
      </c>
      <c r="BL20" s="309">
        <f>$E20*'Beer Revenue'!BM97</f>
        <v>0</v>
      </c>
      <c r="BM20" s="309">
        <f>$E20*'Beer Revenue'!BN97</f>
        <v>0</v>
      </c>
      <c r="BN20" s="309">
        <f>$E20*'Beer Revenue'!BO97</f>
        <v>0</v>
      </c>
      <c r="BO20" s="309">
        <f>$E20*'Beer Revenue'!BP97</f>
        <v>0</v>
      </c>
      <c r="BP20" s="309">
        <f>$E20*'Beer Revenue'!BQ97</f>
        <v>0</v>
      </c>
      <c r="BQ20" s="309">
        <f>$E20*'Beer Revenue'!BR97</f>
        <v>0</v>
      </c>
      <c r="BR20" s="309">
        <f>$E20*'Beer Revenue'!BS97</f>
        <v>0</v>
      </c>
      <c r="BS20" s="309">
        <f>$E20*'Beer Revenue'!BT97</f>
        <v>0</v>
      </c>
      <c r="BT20" s="309">
        <f>$E20*'Beer Revenue'!BU97</f>
        <v>0</v>
      </c>
      <c r="BU20" s="309">
        <f>$E20*'Beer Revenue'!BV97</f>
        <v>0</v>
      </c>
      <c r="BV20" s="309">
        <f>$E20*'Beer Revenue'!BW97</f>
        <v>0</v>
      </c>
      <c r="BW20" s="312">
        <f t="shared" si="8"/>
        <v>0</v>
      </c>
      <c r="BX20" s="312">
        <f t="shared" si="9"/>
        <v>0</v>
      </c>
    </row>
    <row r="21" spans="1:76" ht="14.5">
      <c r="A21" s="284"/>
      <c r="B21" s="59">
        <f>A21*(1+Assumptions!$D$75)</f>
        <v>0</v>
      </c>
      <c r="C21" s="59">
        <f>B21*(1+Assumptions!$E$75)</f>
        <v>0</v>
      </c>
      <c r="D21" s="59">
        <f>C21*(1+Assumptions!$F$75)</f>
        <v>0</v>
      </c>
      <c r="E21" s="59">
        <f>D21*(1+Assumptions!$G$75)</f>
        <v>0</v>
      </c>
      <c r="F21" s="2">
        <f>'Beer Revenue'!J26</f>
        <v>0</v>
      </c>
      <c r="G21" s="2"/>
      <c r="H21" s="2"/>
      <c r="I21" s="2"/>
      <c r="J21" s="2"/>
      <c r="K21" s="309">
        <f>$A21*'Beer Revenue'!L98</f>
        <v>0</v>
      </c>
      <c r="L21" s="309">
        <f>$A21*'Beer Revenue'!M98</f>
        <v>0</v>
      </c>
      <c r="M21" s="309">
        <f>$A21*'Beer Revenue'!N98</f>
        <v>0</v>
      </c>
      <c r="N21" s="309">
        <f>$A21*'Beer Revenue'!O98</f>
        <v>0</v>
      </c>
      <c r="O21" s="309">
        <f>$A21*'Beer Revenue'!P98</f>
        <v>0</v>
      </c>
      <c r="P21" s="309">
        <f>$A21*'Beer Revenue'!Q98</f>
        <v>0</v>
      </c>
      <c r="Q21" s="309">
        <f>$A21*'Beer Revenue'!R98</f>
        <v>0</v>
      </c>
      <c r="R21" s="309">
        <f>$A21*'Beer Revenue'!S98</f>
        <v>0</v>
      </c>
      <c r="S21" s="309">
        <f>$A21*'Beer Revenue'!T98</f>
        <v>0</v>
      </c>
      <c r="T21" s="309">
        <f>$A21*'Beer Revenue'!U98</f>
        <v>0</v>
      </c>
      <c r="U21" s="309">
        <f>$A21*'Beer Revenue'!V98</f>
        <v>0</v>
      </c>
      <c r="V21" s="309">
        <f>$A21*'Beer Revenue'!W98</f>
        <v>0</v>
      </c>
      <c r="W21" s="312">
        <f t="shared" si="4"/>
        <v>0</v>
      </c>
      <c r="X21" s="318">
        <f>$B21*'Beer Revenue'!Y98</f>
        <v>0</v>
      </c>
      <c r="Y21" s="310">
        <f>$B21*'Beer Revenue'!Z98</f>
        <v>0</v>
      </c>
      <c r="Z21" s="310">
        <f>$B21*'Beer Revenue'!AA98</f>
        <v>0</v>
      </c>
      <c r="AA21" s="310">
        <f>$B21*'Beer Revenue'!AB98</f>
        <v>0</v>
      </c>
      <c r="AB21" s="310">
        <f>$B21*'Beer Revenue'!AC98</f>
        <v>0</v>
      </c>
      <c r="AC21" s="310">
        <f>$B21*'Beer Revenue'!AD98</f>
        <v>0</v>
      </c>
      <c r="AD21" s="310">
        <f>$B21*'Beer Revenue'!AE98</f>
        <v>0</v>
      </c>
      <c r="AE21" s="310">
        <f>$B21*'Beer Revenue'!AF98</f>
        <v>0</v>
      </c>
      <c r="AF21" s="310">
        <f>$B21*'Beer Revenue'!AG98</f>
        <v>0</v>
      </c>
      <c r="AG21" s="310">
        <f>$B21*'Beer Revenue'!AH98</f>
        <v>0</v>
      </c>
      <c r="AH21" s="310">
        <f>$B21*'Beer Revenue'!AI98</f>
        <v>0</v>
      </c>
      <c r="AI21" s="310">
        <f>$B21*'Beer Revenue'!AJ98</f>
        <v>0</v>
      </c>
      <c r="AJ21" s="308">
        <f t="shared" si="5"/>
        <v>0</v>
      </c>
      <c r="AK21" s="309">
        <f>$C21*'Beer Revenue'!AL98</f>
        <v>0</v>
      </c>
      <c r="AL21" s="309">
        <f>$C21*'Beer Revenue'!AM98</f>
        <v>0</v>
      </c>
      <c r="AM21" s="309">
        <f>$C21*'Beer Revenue'!AN98</f>
        <v>0</v>
      </c>
      <c r="AN21" s="309">
        <f>$C21*'Beer Revenue'!AO98</f>
        <v>0</v>
      </c>
      <c r="AO21" s="309">
        <f>$C21*'Beer Revenue'!AP98</f>
        <v>0</v>
      </c>
      <c r="AP21" s="309">
        <f>$C21*'Beer Revenue'!AQ98</f>
        <v>0</v>
      </c>
      <c r="AQ21" s="309">
        <f>$C21*'Beer Revenue'!AR98</f>
        <v>0</v>
      </c>
      <c r="AR21" s="309">
        <f>$C21*'Beer Revenue'!AS98</f>
        <v>0</v>
      </c>
      <c r="AS21" s="309">
        <f>$C21*'Beer Revenue'!AT98</f>
        <v>0</v>
      </c>
      <c r="AT21" s="309">
        <f>$C21*'Beer Revenue'!AU98</f>
        <v>0</v>
      </c>
      <c r="AU21" s="309">
        <f>$C21*'Beer Revenue'!AV98</f>
        <v>0</v>
      </c>
      <c r="AV21" s="309">
        <f>$C21*'Beer Revenue'!AW98</f>
        <v>0</v>
      </c>
      <c r="AW21" s="312">
        <f t="shared" si="6"/>
        <v>0</v>
      </c>
      <c r="AX21" s="309">
        <f>$D21*'Beer Revenue'!AY98</f>
        <v>0</v>
      </c>
      <c r="AY21" s="309">
        <f>$D21*'Beer Revenue'!AZ98</f>
        <v>0</v>
      </c>
      <c r="AZ21" s="309">
        <f>$D21*'Beer Revenue'!BA98</f>
        <v>0</v>
      </c>
      <c r="BA21" s="309">
        <f>$D21*'Beer Revenue'!BB98</f>
        <v>0</v>
      </c>
      <c r="BB21" s="309">
        <f>$D21*'Beer Revenue'!BC98</f>
        <v>0</v>
      </c>
      <c r="BC21" s="309">
        <f>$D21*'Beer Revenue'!BD98</f>
        <v>0</v>
      </c>
      <c r="BD21" s="309">
        <f>$D21*'Beer Revenue'!BE98</f>
        <v>0</v>
      </c>
      <c r="BE21" s="309">
        <f>$D21*'Beer Revenue'!BF98</f>
        <v>0</v>
      </c>
      <c r="BF21" s="309">
        <f>$D21*'Beer Revenue'!BG98</f>
        <v>0</v>
      </c>
      <c r="BG21" s="309">
        <f>$D21*'Beer Revenue'!BH98</f>
        <v>0</v>
      </c>
      <c r="BH21" s="309">
        <f>$D21*'Beer Revenue'!BI98</f>
        <v>0</v>
      </c>
      <c r="BI21" s="309">
        <f>$D21*'Beer Revenue'!BJ98</f>
        <v>0</v>
      </c>
      <c r="BJ21" s="312">
        <f t="shared" si="7"/>
        <v>0</v>
      </c>
      <c r="BK21" s="309">
        <f>$E21*'Beer Revenue'!BL98</f>
        <v>0</v>
      </c>
      <c r="BL21" s="309">
        <f>$E21*'Beer Revenue'!BM98</f>
        <v>0</v>
      </c>
      <c r="BM21" s="309">
        <f>$E21*'Beer Revenue'!BN98</f>
        <v>0</v>
      </c>
      <c r="BN21" s="309">
        <f>$E21*'Beer Revenue'!BO98</f>
        <v>0</v>
      </c>
      <c r="BO21" s="309">
        <f>$E21*'Beer Revenue'!BP98</f>
        <v>0</v>
      </c>
      <c r="BP21" s="309">
        <f>$E21*'Beer Revenue'!BQ98</f>
        <v>0</v>
      </c>
      <c r="BQ21" s="309">
        <f>$E21*'Beer Revenue'!BR98</f>
        <v>0</v>
      </c>
      <c r="BR21" s="309">
        <f>$E21*'Beer Revenue'!BS98</f>
        <v>0</v>
      </c>
      <c r="BS21" s="309">
        <f>$E21*'Beer Revenue'!BT98</f>
        <v>0</v>
      </c>
      <c r="BT21" s="309">
        <f>$E21*'Beer Revenue'!BU98</f>
        <v>0</v>
      </c>
      <c r="BU21" s="309">
        <f>$E21*'Beer Revenue'!BV98</f>
        <v>0</v>
      </c>
      <c r="BV21" s="309">
        <f>$E21*'Beer Revenue'!BW98</f>
        <v>0</v>
      </c>
      <c r="BW21" s="312">
        <f t="shared" si="8"/>
        <v>0</v>
      </c>
      <c r="BX21" s="312">
        <f t="shared" si="9"/>
        <v>0</v>
      </c>
    </row>
    <row r="22" spans="1:76" ht="14.5">
      <c r="A22" s="284"/>
      <c r="B22" s="59">
        <f>A22*(1+Assumptions!$D$75)</f>
        <v>0</v>
      </c>
      <c r="C22" s="59">
        <f>B22*(1+Assumptions!$E$75)</f>
        <v>0</v>
      </c>
      <c r="D22" s="59">
        <f>C22*(1+Assumptions!$F$75)</f>
        <v>0</v>
      </c>
      <c r="E22" s="59">
        <f>D22*(1+Assumptions!$G$75)</f>
        <v>0</v>
      </c>
      <c r="F22" s="2">
        <f>'Beer Revenue'!J27</f>
        <v>0</v>
      </c>
      <c r="G22" s="2"/>
      <c r="H22" s="2"/>
      <c r="I22" s="2"/>
      <c r="J22" s="2"/>
      <c r="K22" s="309">
        <f>$A22*'Beer Revenue'!L99</f>
        <v>0</v>
      </c>
      <c r="L22" s="309">
        <f>$A22*'Beer Revenue'!M99</f>
        <v>0</v>
      </c>
      <c r="M22" s="309">
        <f>$A22*'Beer Revenue'!N99</f>
        <v>0</v>
      </c>
      <c r="N22" s="309">
        <f>$A22*'Beer Revenue'!O99</f>
        <v>0</v>
      </c>
      <c r="O22" s="309">
        <f>$A22*'Beer Revenue'!P99</f>
        <v>0</v>
      </c>
      <c r="P22" s="309">
        <f>$A22*'Beer Revenue'!Q99</f>
        <v>0</v>
      </c>
      <c r="Q22" s="309">
        <f>$A22*'Beer Revenue'!R99</f>
        <v>0</v>
      </c>
      <c r="R22" s="309">
        <f>$A22*'Beer Revenue'!S99</f>
        <v>0</v>
      </c>
      <c r="S22" s="309">
        <f>$A22*'Beer Revenue'!T99</f>
        <v>0</v>
      </c>
      <c r="T22" s="309">
        <f>$A22*'Beer Revenue'!U99</f>
        <v>0</v>
      </c>
      <c r="U22" s="309">
        <f>$A22*'Beer Revenue'!V99</f>
        <v>0</v>
      </c>
      <c r="V22" s="309">
        <f>$A22*'Beer Revenue'!W99</f>
        <v>0</v>
      </c>
      <c r="W22" s="312">
        <f t="shared" si="4"/>
        <v>0</v>
      </c>
      <c r="X22" s="318">
        <f>$B22*'Beer Revenue'!Y99</f>
        <v>0</v>
      </c>
      <c r="Y22" s="310">
        <f>$B22*'Beer Revenue'!Z99</f>
        <v>0</v>
      </c>
      <c r="Z22" s="310">
        <f>$B22*'Beer Revenue'!AA99</f>
        <v>0</v>
      </c>
      <c r="AA22" s="310">
        <f>$B22*'Beer Revenue'!AB99</f>
        <v>0</v>
      </c>
      <c r="AB22" s="310">
        <f>$B22*'Beer Revenue'!AC99</f>
        <v>0</v>
      </c>
      <c r="AC22" s="310">
        <f>$B22*'Beer Revenue'!AD99</f>
        <v>0</v>
      </c>
      <c r="AD22" s="310">
        <f>$B22*'Beer Revenue'!AE99</f>
        <v>0</v>
      </c>
      <c r="AE22" s="310">
        <f>$B22*'Beer Revenue'!AF99</f>
        <v>0</v>
      </c>
      <c r="AF22" s="310">
        <f>$B22*'Beer Revenue'!AG99</f>
        <v>0</v>
      </c>
      <c r="AG22" s="310">
        <f>$B22*'Beer Revenue'!AH99</f>
        <v>0</v>
      </c>
      <c r="AH22" s="310">
        <f>$B22*'Beer Revenue'!AI99</f>
        <v>0</v>
      </c>
      <c r="AI22" s="310">
        <f>$B22*'Beer Revenue'!AJ99</f>
        <v>0</v>
      </c>
      <c r="AJ22" s="308">
        <f t="shared" si="5"/>
        <v>0</v>
      </c>
      <c r="AK22" s="309">
        <f>$C22*'Beer Revenue'!AL99</f>
        <v>0</v>
      </c>
      <c r="AL22" s="309">
        <f>$C22*'Beer Revenue'!AM99</f>
        <v>0</v>
      </c>
      <c r="AM22" s="309">
        <f>$C22*'Beer Revenue'!AN99</f>
        <v>0</v>
      </c>
      <c r="AN22" s="309">
        <f>$C22*'Beer Revenue'!AO99</f>
        <v>0</v>
      </c>
      <c r="AO22" s="309">
        <f>$C22*'Beer Revenue'!AP99</f>
        <v>0</v>
      </c>
      <c r="AP22" s="309">
        <f>$C22*'Beer Revenue'!AQ99</f>
        <v>0</v>
      </c>
      <c r="AQ22" s="309">
        <f>$C22*'Beer Revenue'!AR99</f>
        <v>0</v>
      </c>
      <c r="AR22" s="309">
        <f>$C22*'Beer Revenue'!AS99</f>
        <v>0</v>
      </c>
      <c r="AS22" s="309">
        <f>$C22*'Beer Revenue'!AT99</f>
        <v>0</v>
      </c>
      <c r="AT22" s="309">
        <f>$C22*'Beer Revenue'!AU99</f>
        <v>0</v>
      </c>
      <c r="AU22" s="309">
        <f>$C22*'Beer Revenue'!AV99</f>
        <v>0</v>
      </c>
      <c r="AV22" s="309">
        <f>$C22*'Beer Revenue'!AW99</f>
        <v>0</v>
      </c>
      <c r="AW22" s="312">
        <f t="shared" si="6"/>
        <v>0</v>
      </c>
      <c r="AX22" s="309">
        <f>$D22*'Beer Revenue'!AY99</f>
        <v>0</v>
      </c>
      <c r="AY22" s="309">
        <f>$D22*'Beer Revenue'!AZ99</f>
        <v>0</v>
      </c>
      <c r="AZ22" s="309">
        <f>$D22*'Beer Revenue'!BA99</f>
        <v>0</v>
      </c>
      <c r="BA22" s="309">
        <f>$D22*'Beer Revenue'!BB99</f>
        <v>0</v>
      </c>
      <c r="BB22" s="309">
        <f>$D22*'Beer Revenue'!BC99</f>
        <v>0</v>
      </c>
      <c r="BC22" s="309">
        <f>$D22*'Beer Revenue'!BD99</f>
        <v>0</v>
      </c>
      <c r="BD22" s="309">
        <f>$D22*'Beer Revenue'!BE99</f>
        <v>0</v>
      </c>
      <c r="BE22" s="309">
        <f>$D22*'Beer Revenue'!BF99</f>
        <v>0</v>
      </c>
      <c r="BF22" s="309">
        <f>$D22*'Beer Revenue'!BG99</f>
        <v>0</v>
      </c>
      <c r="BG22" s="309">
        <f>$D22*'Beer Revenue'!BH99</f>
        <v>0</v>
      </c>
      <c r="BH22" s="309">
        <f>$D22*'Beer Revenue'!BI99</f>
        <v>0</v>
      </c>
      <c r="BI22" s="309">
        <f>$D22*'Beer Revenue'!BJ99</f>
        <v>0</v>
      </c>
      <c r="BJ22" s="312">
        <f t="shared" si="7"/>
        <v>0</v>
      </c>
      <c r="BK22" s="309">
        <f>$E22*'Beer Revenue'!BL99</f>
        <v>0</v>
      </c>
      <c r="BL22" s="309">
        <f>$E22*'Beer Revenue'!BM99</f>
        <v>0</v>
      </c>
      <c r="BM22" s="309">
        <f>$E22*'Beer Revenue'!BN99</f>
        <v>0</v>
      </c>
      <c r="BN22" s="309">
        <f>$E22*'Beer Revenue'!BO99</f>
        <v>0</v>
      </c>
      <c r="BO22" s="309">
        <f>$E22*'Beer Revenue'!BP99</f>
        <v>0</v>
      </c>
      <c r="BP22" s="309">
        <f>$E22*'Beer Revenue'!BQ99</f>
        <v>0</v>
      </c>
      <c r="BQ22" s="309">
        <f>$E22*'Beer Revenue'!BR99</f>
        <v>0</v>
      </c>
      <c r="BR22" s="309">
        <f>$E22*'Beer Revenue'!BS99</f>
        <v>0</v>
      </c>
      <c r="BS22" s="309">
        <f>$E22*'Beer Revenue'!BT99</f>
        <v>0</v>
      </c>
      <c r="BT22" s="309">
        <f>$E22*'Beer Revenue'!BU99</f>
        <v>0</v>
      </c>
      <c r="BU22" s="309">
        <f>$E22*'Beer Revenue'!BV99</f>
        <v>0</v>
      </c>
      <c r="BV22" s="309">
        <f>$E22*'Beer Revenue'!BW99</f>
        <v>0</v>
      </c>
      <c r="BW22" s="312">
        <f t="shared" si="8"/>
        <v>0</v>
      </c>
      <c r="BX22" s="312">
        <f t="shared" si="9"/>
        <v>0</v>
      </c>
    </row>
    <row r="23" spans="1:76" ht="14.5">
      <c r="A23" s="59"/>
      <c r="B23" s="59"/>
      <c r="C23" s="59"/>
      <c r="D23" s="59"/>
      <c r="E23" s="59"/>
      <c r="F23" s="2"/>
      <c r="G23" s="2"/>
      <c r="H23" s="2"/>
      <c r="I23" s="2"/>
      <c r="J23" s="2"/>
      <c r="K23" s="309">
        <f>SUM(K10:K22)</f>
        <v>1205.9638727678573</v>
      </c>
      <c r="L23" s="309">
        <f t="shared" ref="L23:X23" si="10">SUM(L10:L22)</f>
        <v>1282.1470744077617</v>
      </c>
      <c r="M23" s="309">
        <f t="shared" si="10"/>
        <v>1808.9458091517861</v>
      </c>
      <c r="N23" s="309">
        <f t="shared" si="10"/>
        <v>2139.6133226526499</v>
      </c>
      <c r="O23" s="309">
        <f t="shared" si="10"/>
        <v>2411.9277455357146</v>
      </c>
      <c r="P23" s="309">
        <f t="shared" si="10"/>
        <v>2139.6133226526499</v>
      </c>
      <c r="Q23" s="309">
        <f t="shared" si="10"/>
        <v>2009.9397879464289</v>
      </c>
      <c r="R23" s="309">
        <f t="shared" si="10"/>
        <v>2512.4247349330358</v>
      </c>
      <c r="S23" s="309">
        <f t="shared" si="10"/>
        <v>2431.3787757416471</v>
      </c>
      <c r="T23" s="309">
        <f t="shared" si="10"/>
        <v>2411.9277455357146</v>
      </c>
      <c r="U23" s="309">
        <f t="shared" si="10"/>
        <v>1750.5927185339863</v>
      </c>
      <c r="V23" s="309">
        <f t="shared" si="10"/>
        <v>1607.9518303571429</v>
      </c>
      <c r="W23" s="309">
        <f t="shared" si="10"/>
        <v>23712.426740216375</v>
      </c>
      <c r="X23" s="309">
        <f t="shared" si="10"/>
        <v>1414.595622756696</v>
      </c>
      <c r="Y23" s="309">
        <f t="shared" ref="Y23:BD23" si="11">SUM(Y10:Y22)</f>
        <v>1503.9585182803046</v>
      </c>
      <c r="Z23" s="309">
        <f t="shared" si="11"/>
        <v>2121.8934341350441</v>
      </c>
      <c r="AA23" s="309">
        <f t="shared" si="11"/>
        <v>2509.766427471558</v>
      </c>
      <c r="AB23" s="309">
        <f t="shared" si="11"/>
        <v>2829.191245513392</v>
      </c>
      <c r="AC23" s="309">
        <f t="shared" si="11"/>
        <v>2509.766427471558</v>
      </c>
      <c r="AD23" s="309">
        <f t="shared" si="11"/>
        <v>2357.6593712611607</v>
      </c>
      <c r="AE23" s="309">
        <f t="shared" si="11"/>
        <v>2947.0742140764501</v>
      </c>
      <c r="AF23" s="309">
        <f t="shared" si="11"/>
        <v>2852.0073039449517</v>
      </c>
      <c r="AG23" s="309">
        <f t="shared" si="11"/>
        <v>2829.191245513392</v>
      </c>
      <c r="AH23" s="309">
        <f t="shared" si="11"/>
        <v>2053.4452588403651</v>
      </c>
      <c r="AI23" s="309">
        <f t="shared" si="11"/>
        <v>1886.1274970089282</v>
      </c>
      <c r="AJ23" s="309">
        <f t="shared" si="11"/>
        <v>27814.676566273803</v>
      </c>
      <c r="AK23" s="309">
        <f t="shared" si="11"/>
        <v>1587.1762887330128</v>
      </c>
      <c r="AL23" s="309">
        <f t="shared" si="11"/>
        <v>1687.441457510502</v>
      </c>
      <c r="AM23" s="309">
        <f t="shared" si="11"/>
        <v>2380.7644330995204</v>
      </c>
      <c r="AN23" s="309">
        <f t="shared" si="11"/>
        <v>2815.9579316230884</v>
      </c>
      <c r="AO23" s="309">
        <f t="shared" si="11"/>
        <v>3174.3525774660257</v>
      </c>
      <c r="AP23" s="309">
        <f t="shared" si="11"/>
        <v>2815.9579316230884</v>
      </c>
      <c r="AQ23" s="309">
        <f t="shared" si="11"/>
        <v>2645.2938145550224</v>
      </c>
      <c r="AR23" s="309">
        <f t="shared" si="11"/>
        <v>3306.6172681937783</v>
      </c>
      <c r="AS23" s="309">
        <f t="shared" si="11"/>
        <v>3199.9521950262365</v>
      </c>
      <c r="AT23" s="309">
        <f t="shared" si="11"/>
        <v>3174.3525774660257</v>
      </c>
      <c r="AU23" s="309">
        <f t="shared" si="11"/>
        <v>2303.9655804188906</v>
      </c>
      <c r="AV23" s="309">
        <f t="shared" si="11"/>
        <v>2116.2350516440183</v>
      </c>
      <c r="AW23" s="309">
        <f t="shared" si="11"/>
        <v>31208.067107359209</v>
      </c>
      <c r="AX23" s="309">
        <f t="shared" si="11"/>
        <v>1699.8658052330575</v>
      </c>
      <c r="AY23" s="309">
        <f t="shared" si="11"/>
        <v>1807.2498009937478</v>
      </c>
      <c r="AZ23" s="309">
        <f t="shared" si="11"/>
        <v>2549.7987078495858</v>
      </c>
      <c r="BA23" s="309">
        <f t="shared" si="11"/>
        <v>3015.8909447683282</v>
      </c>
      <c r="BB23" s="309">
        <f t="shared" si="11"/>
        <v>3399.7316104661149</v>
      </c>
      <c r="BC23" s="309">
        <f t="shared" si="11"/>
        <v>3015.8909447683282</v>
      </c>
      <c r="BD23" s="309">
        <f t="shared" si="11"/>
        <v>2833.1096753884294</v>
      </c>
      <c r="BE23" s="309">
        <f t="shared" ref="BE23:BX23" si="12">SUM(BE10:BE22)</f>
        <v>3541.387094235537</v>
      </c>
      <c r="BF23" s="309">
        <f t="shared" si="12"/>
        <v>3427.1488008730998</v>
      </c>
      <c r="BG23" s="309">
        <f t="shared" si="12"/>
        <v>3399.7316104661149</v>
      </c>
      <c r="BH23" s="309">
        <f t="shared" si="12"/>
        <v>2467.5471366286324</v>
      </c>
      <c r="BI23" s="309">
        <f t="shared" si="12"/>
        <v>2266.4877403107434</v>
      </c>
      <c r="BJ23" s="309">
        <f t="shared" si="12"/>
        <v>33423.83987198172</v>
      </c>
      <c r="BK23" s="309">
        <f t="shared" si="12"/>
        <v>1820.5562774046048</v>
      </c>
      <c r="BL23" s="309">
        <f t="shared" si="12"/>
        <v>1935.5645368643038</v>
      </c>
      <c r="BM23" s="309">
        <f t="shared" si="12"/>
        <v>2730.8344161069067</v>
      </c>
      <c r="BN23" s="309">
        <f t="shared" si="12"/>
        <v>3230.0192018468797</v>
      </c>
      <c r="BO23" s="309">
        <f t="shared" si="12"/>
        <v>3641.1125548092095</v>
      </c>
      <c r="BP23" s="309">
        <f t="shared" si="12"/>
        <v>3230.0192018468797</v>
      </c>
      <c r="BQ23" s="309">
        <f t="shared" si="12"/>
        <v>3034.2604623410075</v>
      </c>
      <c r="BR23" s="309">
        <f t="shared" si="12"/>
        <v>3792.8255779262595</v>
      </c>
      <c r="BS23" s="309">
        <f t="shared" si="12"/>
        <v>3670.47636573509</v>
      </c>
      <c r="BT23" s="309">
        <f t="shared" si="12"/>
        <v>3641.1125548092095</v>
      </c>
      <c r="BU23" s="309">
        <f t="shared" si="12"/>
        <v>2642.7429833292658</v>
      </c>
      <c r="BV23" s="309">
        <f t="shared" si="12"/>
        <v>2427.4083698728064</v>
      </c>
      <c r="BW23" s="309">
        <f t="shared" si="12"/>
        <v>35796.932502892429</v>
      </c>
      <c r="BX23" s="309">
        <f t="shared" si="12"/>
        <v>151955.94278872354</v>
      </c>
    </row>
    <row r="24" spans="1:76" ht="14.5">
      <c r="A24" s="59"/>
      <c r="B24" s="59"/>
      <c r="C24" s="59"/>
      <c r="D24" s="59"/>
      <c r="E24" s="59"/>
      <c r="F24" s="2"/>
      <c r="G24" s="2"/>
      <c r="H24" s="2"/>
      <c r="I24" s="2"/>
      <c r="J24" s="2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12"/>
      <c r="X24" s="317"/>
      <c r="Y24" s="309"/>
      <c r="Z24" s="309"/>
      <c r="AA24" s="309"/>
      <c r="AB24" s="309"/>
      <c r="AC24" s="309"/>
      <c r="AD24" s="309"/>
      <c r="AE24" s="309"/>
      <c r="AF24" s="309"/>
      <c r="AG24" s="309"/>
      <c r="AH24" s="309"/>
      <c r="AI24" s="309"/>
      <c r="AJ24" s="312"/>
      <c r="AK24" s="317"/>
      <c r="AL24" s="309"/>
      <c r="AM24" s="309"/>
      <c r="AN24" s="309"/>
      <c r="AO24" s="309"/>
      <c r="AP24" s="309"/>
      <c r="AQ24" s="309"/>
      <c r="AR24" s="309"/>
      <c r="AS24" s="309"/>
      <c r="AT24" s="309"/>
      <c r="AU24" s="309"/>
      <c r="AV24" s="309"/>
      <c r="AW24" s="312"/>
      <c r="AX24" s="317"/>
      <c r="AY24" s="309"/>
      <c r="AZ24" s="309"/>
      <c r="BA24" s="309"/>
      <c r="BB24" s="309"/>
      <c r="BC24" s="309"/>
      <c r="BD24" s="309"/>
      <c r="BE24" s="309"/>
      <c r="BF24" s="309"/>
      <c r="BG24" s="309"/>
      <c r="BH24" s="309"/>
      <c r="BI24" s="309"/>
      <c r="BJ24" s="312"/>
      <c r="BK24" s="317"/>
      <c r="BL24" s="309"/>
      <c r="BM24" s="309"/>
      <c r="BN24" s="309"/>
      <c r="BO24" s="309"/>
      <c r="BP24" s="309"/>
      <c r="BQ24" s="309"/>
      <c r="BR24" s="309"/>
      <c r="BS24" s="309"/>
      <c r="BT24" s="309"/>
      <c r="BU24" s="309"/>
      <c r="BV24" s="309"/>
      <c r="BW24" s="312"/>
      <c r="BX24" s="312">
        <f t="shared" si="9"/>
        <v>0</v>
      </c>
    </row>
    <row r="25" spans="1:76" ht="14.5">
      <c r="A25" s="36" t="s">
        <v>531</v>
      </c>
      <c r="B25" s="364"/>
      <c r="C25" s="364"/>
      <c r="D25" s="364"/>
      <c r="E25" s="364"/>
      <c r="F25" s="2"/>
      <c r="G25" s="2"/>
      <c r="H25" s="2"/>
      <c r="I25" s="2"/>
      <c r="J25" s="2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12"/>
      <c r="X25" s="317"/>
      <c r="Y25" s="309"/>
      <c r="Z25" s="309"/>
      <c r="AA25" s="309"/>
      <c r="AB25" s="309"/>
      <c r="AC25" s="309"/>
      <c r="AD25" s="309"/>
      <c r="AE25" s="309"/>
      <c r="AF25" s="309"/>
      <c r="AG25" s="309"/>
      <c r="AH25" s="309"/>
      <c r="AI25" s="309"/>
      <c r="AJ25" s="312"/>
      <c r="AK25" s="317"/>
      <c r="AL25" s="309"/>
      <c r="AM25" s="309"/>
      <c r="AN25" s="309"/>
      <c r="AO25" s="309"/>
      <c r="AP25" s="309"/>
      <c r="AQ25" s="309"/>
      <c r="AR25" s="309"/>
      <c r="AS25" s="309"/>
      <c r="AT25" s="309"/>
      <c r="AU25" s="309"/>
      <c r="AV25" s="309"/>
      <c r="AW25" s="312"/>
      <c r="AX25" s="317"/>
      <c r="AY25" s="309"/>
      <c r="AZ25" s="309"/>
      <c r="BA25" s="309"/>
      <c r="BB25" s="309"/>
      <c r="BC25" s="309"/>
      <c r="BD25" s="309"/>
      <c r="BE25" s="309"/>
      <c r="BF25" s="309"/>
      <c r="BG25" s="309"/>
      <c r="BH25" s="309"/>
      <c r="BI25" s="309"/>
      <c r="BJ25" s="312"/>
      <c r="BK25" s="317"/>
      <c r="BL25" s="309"/>
      <c r="BM25" s="309"/>
      <c r="BN25" s="309"/>
      <c r="BO25" s="309"/>
      <c r="BP25" s="309"/>
      <c r="BQ25" s="309"/>
      <c r="BR25" s="309"/>
      <c r="BS25" s="309"/>
      <c r="BT25" s="309"/>
      <c r="BU25" s="309"/>
      <c r="BV25" s="309"/>
      <c r="BW25" s="312"/>
      <c r="BX25" s="312">
        <f t="shared" si="9"/>
        <v>0</v>
      </c>
    </row>
    <row r="26" spans="1:76" ht="14.5">
      <c r="A26" s="59">
        <f>A10+'4pk costs'!$B$10</f>
        <v>237.87111111111011</v>
      </c>
      <c r="B26" s="59">
        <f>A26*(1+Assumptions!$D$75)</f>
        <v>242.62853333333231</v>
      </c>
      <c r="C26" s="59">
        <f>B26*(1+Assumptions!$E$75)</f>
        <v>247.48110399999896</v>
      </c>
      <c r="D26" s="59">
        <f>C26*(1+Assumptions!$F$75)</f>
        <v>252.43072607999895</v>
      </c>
      <c r="E26" s="59">
        <f>D26*(1+Assumptions!$G$75)</f>
        <v>257.47934060159895</v>
      </c>
      <c r="F26" s="2" t="str">
        <f t="shared" ref="F26:F38" si="13">F10</f>
        <v>Core 1 - Lager</v>
      </c>
      <c r="G26" s="2"/>
      <c r="H26" s="2"/>
      <c r="I26" s="2"/>
      <c r="J26" s="2"/>
      <c r="K26" s="309">
        <f>$A26*'Beer Revenue'!L103</f>
        <v>65.244647619047342</v>
      </c>
      <c r="L26" s="309">
        <f>$A26*'Beer Revenue'!M103</f>
        <v>69.366285304659201</v>
      </c>
      <c r="M26" s="309">
        <f>$A26*'Beer Revenue'!N103</f>
        <v>97.866971428571034</v>
      </c>
      <c r="N26" s="309">
        <f>$A26*'Beer Revenue'!O103</f>
        <v>115.75663287250337</v>
      </c>
      <c r="O26" s="309">
        <f>$A26*'Beer Revenue'!P103</f>
        <v>130.48929523809468</v>
      </c>
      <c r="P26" s="309">
        <f>$A26*'Beer Revenue'!Q103</f>
        <v>115.75663287250337</v>
      </c>
      <c r="Q26" s="309">
        <f>$A26*'Beer Revenue'!R103</f>
        <v>108.74107936507892</v>
      </c>
      <c r="R26" s="309">
        <f>$A26*'Beer Revenue'!S103</f>
        <v>135.92634920634868</v>
      </c>
      <c r="S26" s="309">
        <f>$A26*'Beer Revenue'!T103</f>
        <v>131.54162826420833</v>
      </c>
      <c r="T26" s="309">
        <f>$A26*'Beer Revenue'!U103</f>
        <v>130.48929523809468</v>
      </c>
      <c r="U26" s="309">
        <f>$A26*'Beer Revenue'!V103</f>
        <v>94.709972350230032</v>
      </c>
      <c r="V26" s="309">
        <f>$A26*'Beer Revenue'!W103</f>
        <v>86.992863492063137</v>
      </c>
      <c r="W26" s="312">
        <f t="shared" si="4"/>
        <v>1282.8816532514027</v>
      </c>
      <c r="X26" s="317">
        <f>$B26*'Beer Revenue'!Y103</f>
        <v>76.53197165714252</v>
      </c>
      <c r="Y26" s="309">
        <f>$B26*'Beer Revenue'!Z103</f>
        <v>81.36665266236524</v>
      </c>
      <c r="Z26" s="309">
        <f>$B26*'Beer Revenue'!AA103</f>
        <v>114.79795748571382</v>
      </c>
      <c r="AA26" s="309">
        <f>$B26*'Beer Revenue'!AB103</f>
        <v>135.78253035944644</v>
      </c>
      <c r="AB26" s="309">
        <f>$B26*'Beer Revenue'!AC103</f>
        <v>153.06394331428504</v>
      </c>
      <c r="AC26" s="309">
        <f>$B26*'Beer Revenue'!AD103</f>
        <v>135.78253035944644</v>
      </c>
      <c r="AD26" s="309">
        <f>$B26*'Beer Revenue'!AE103</f>
        <v>127.55328609523758</v>
      </c>
      <c r="AE26" s="309">
        <f>$B26*'Beer Revenue'!AF103</f>
        <v>159.44160761904698</v>
      </c>
      <c r="AF26" s="309">
        <f>$B26*'Beer Revenue'!AG103</f>
        <v>154.29832995391638</v>
      </c>
      <c r="AG26" s="309">
        <f>$B26*'Beer Revenue'!AH103</f>
        <v>153.06394331428504</v>
      </c>
      <c r="AH26" s="309">
        <f>$B26*'Beer Revenue'!AI103</f>
        <v>111.09479756681981</v>
      </c>
      <c r="AI26" s="309">
        <f>$B26*'Beer Revenue'!AJ103</f>
        <v>102.04262887619004</v>
      </c>
      <c r="AJ26" s="312">
        <f t="shared" ref="AJ26:AJ38" si="14">SUM(X26:AI26)</f>
        <v>1504.8201792638954</v>
      </c>
      <c r="AK26" s="309">
        <f>$C26*'Beer Revenue'!AL103</f>
        <v>85.868872199313927</v>
      </c>
      <c r="AL26" s="309">
        <f>$C26*'Beer Revenue'!AM103</f>
        <v>91.293384287173808</v>
      </c>
      <c r="AM26" s="309">
        <f>$C26*'Beer Revenue'!AN103</f>
        <v>128.8033082989709</v>
      </c>
      <c r="AN26" s="309">
        <f>$C26*'Beer Revenue'!AO103</f>
        <v>152.34799906329891</v>
      </c>
      <c r="AO26" s="309">
        <f>$C26*'Beer Revenue'!AP103</f>
        <v>171.73774439862785</v>
      </c>
      <c r="AP26" s="309">
        <f>$C26*'Beer Revenue'!AQ103</f>
        <v>152.34799906329891</v>
      </c>
      <c r="AQ26" s="309">
        <f>$C26*'Beer Revenue'!AR103</f>
        <v>143.11478699885657</v>
      </c>
      <c r="AR26" s="309">
        <f>$C26*'Beer Revenue'!AS103</f>
        <v>178.89348374857073</v>
      </c>
      <c r="AS26" s="309">
        <f>$C26*'Beer Revenue'!AT103</f>
        <v>173.12272620829418</v>
      </c>
      <c r="AT26" s="309">
        <f>$C26*'Beer Revenue'!AU103</f>
        <v>171.73774439862785</v>
      </c>
      <c r="AU26" s="309">
        <f>$C26*'Beer Revenue'!AV103</f>
        <v>124.64836286997182</v>
      </c>
      <c r="AV26" s="309">
        <f>$C26*'Beer Revenue'!AW103</f>
        <v>114.49182959908524</v>
      </c>
      <c r="AW26" s="312">
        <f t="shared" ref="AW26:AW38" si="15">SUM(AK26:AV26)</f>
        <v>1688.4082411340905</v>
      </c>
      <c r="AX26" s="309">
        <f>$D26*'Beer Revenue'!AY103</f>
        <v>91.965562125465226</v>
      </c>
      <c r="AY26" s="309">
        <f>$D26*'Beer Revenue'!AZ103</f>
        <v>97.77521457156314</v>
      </c>
      <c r="AZ26" s="309">
        <f>$D26*'Beer Revenue'!BA103</f>
        <v>137.94834318819784</v>
      </c>
      <c r="BA26" s="309">
        <f>$D26*'Beer Revenue'!BB103</f>
        <v>163.16470699679311</v>
      </c>
      <c r="BB26" s="309">
        <f>$D26*'Beer Revenue'!BC103</f>
        <v>183.93112425093045</v>
      </c>
      <c r="BC26" s="309">
        <f>$D26*'Beer Revenue'!BD103</f>
        <v>163.16470699679311</v>
      </c>
      <c r="BD26" s="309">
        <f>$D26*'Beer Revenue'!BE103</f>
        <v>153.27593687577539</v>
      </c>
      <c r="BE26" s="309">
        <f>$D26*'Beer Revenue'!BF103</f>
        <v>191.59492109471927</v>
      </c>
      <c r="BF26" s="309">
        <f>$D26*'Beer Revenue'!BG103</f>
        <v>185.41443976908309</v>
      </c>
      <c r="BG26" s="309">
        <f>$D26*'Beer Revenue'!BH103</f>
        <v>183.93112425093045</v>
      </c>
      <c r="BH26" s="309">
        <f>$D26*'Beer Revenue'!BI103</f>
        <v>133.49839663373982</v>
      </c>
      <c r="BI26" s="309">
        <f>$D26*'Beer Revenue'!BJ103</f>
        <v>122.62074950062031</v>
      </c>
      <c r="BJ26" s="312">
        <f t="shared" si="7"/>
        <v>1808.2852262546114</v>
      </c>
      <c r="BK26" s="309">
        <f>$E26*'Beer Revenue'!BL103</f>
        <v>98.495117036373287</v>
      </c>
      <c r="BL26" s="309">
        <f>$E26*'Beer Revenue'!BM103</f>
        <v>104.71725480614415</v>
      </c>
      <c r="BM26" s="309">
        <f>$E26*'Beer Revenue'!BN103</f>
        <v>147.7426755545599</v>
      </c>
      <c r="BN26" s="309">
        <f>$E26*'Beer Revenue'!BO103</f>
        <v>174.74940119356546</v>
      </c>
      <c r="BO26" s="309">
        <f>$E26*'Beer Revenue'!BP103</f>
        <v>196.99023407274657</v>
      </c>
      <c r="BP26" s="309">
        <f>$E26*'Beer Revenue'!BQ103</f>
        <v>174.74940119356546</v>
      </c>
      <c r="BQ26" s="309">
        <f>$E26*'Beer Revenue'!BR103</f>
        <v>164.15852839395546</v>
      </c>
      <c r="BR26" s="309">
        <f>$E26*'Beer Revenue'!BS103</f>
        <v>205.19816049244434</v>
      </c>
      <c r="BS26" s="309">
        <f>$E26*'Beer Revenue'!BT103</f>
        <v>198.57886499268801</v>
      </c>
      <c r="BT26" s="309">
        <f>$E26*'Beer Revenue'!BU103</f>
        <v>196.99023407274657</v>
      </c>
      <c r="BU26" s="309">
        <f>$E26*'Beer Revenue'!BV103</f>
        <v>142.97678279473539</v>
      </c>
      <c r="BV26" s="309">
        <f>$E26*'Beer Revenue'!BW103</f>
        <v>131.32682271516435</v>
      </c>
      <c r="BW26" s="312">
        <f t="shared" si="8"/>
        <v>1936.6734773186888</v>
      </c>
      <c r="BX26" s="312">
        <f t="shared" si="9"/>
        <v>8221.0687772226884</v>
      </c>
    </row>
    <row r="27" spans="1:76" ht="14.5">
      <c r="A27" s="59">
        <f>A11+'4pk costs'!$B$10</f>
        <v>337.87111111111011</v>
      </c>
      <c r="B27" s="59">
        <f>A27*(1+Assumptions!$D$75)</f>
        <v>344.62853333333231</v>
      </c>
      <c r="C27" s="59">
        <f>B27*(1+Assumptions!$E$75)</f>
        <v>351.52110399999896</v>
      </c>
      <c r="D27" s="59">
        <f>C27*(1+Assumptions!$F$75)</f>
        <v>358.55152607999895</v>
      </c>
      <c r="E27" s="59">
        <f>D27*(1+Assumptions!$G$75)</f>
        <v>365.72255660159891</v>
      </c>
      <c r="F27" s="2" t="str">
        <f t="shared" si="13"/>
        <v>Core 2 - Hoppy Pale</v>
      </c>
      <c r="G27" s="2"/>
      <c r="H27" s="2"/>
      <c r="I27" s="2"/>
      <c r="J27" s="2"/>
      <c r="K27" s="309">
        <f>$A27*'Beer Revenue'!L104</f>
        <v>139.00982857142813</v>
      </c>
      <c r="L27" s="309">
        <f>$A27*'Beer Revenue'!M104</f>
        <v>147.79136344085975</v>
      </c>
      <c r="M27" s="309">
        <f>$A27*'Beer Revenue'!N104</f>
        <v>208.51474285714224</v>
      </c>
      <c r="N27" s="309">
        <f>$A27*'Beer Revenue'!O104</f>
        <v>246.63034101382416</v>
      </c>
      <c r="O27" s="309">
        <f>$A27*'Beer Revenue'!P104</f>
        <v>278.01965714285626</v>
      </c>
      <c r="P27" s="309">
        <f>$A27*'Beer Revenue'!Q104</f>
        <v>246.63034101382416</v>
      </c>
      <c r="Q27" s="309">
        <f>$A27*'Beer Revenue'!R104</f>
        <v>231.68304761904693</v>
      </c>
      <c r="R27" s="309">
        <f>$A27*'Beer Revenue'!S104</f>
        <v>289.60380952380871</v>
      </c>
      <c r="S27" s="309">
        <f>$A27*'Beer Revenue'!T104</f>
        <v>280.26175115207286</v>
      </c>
      <c r="T27" s="309">
        <f>$A27*'Beer Revenue'!U104</f>
        <v>278.01965714285626</v>
      </c>
      <c r="U27" s="309">
        <f>$A27*'Beer Revenue'!V104</f>
        <v>201.78846082949246</v>
      </c>
      <c r="V27" s="309">
        <f>$A27*'Beer Revenue'!W104</f>
        <v>185.34643809523754</v>
      </c>
      <c r="W27" s="312">
        <f t="shared" si="4"/>
        <v>2733.2994384024496</v>
      </c>
      <c r="X27" s="317">
        <f>$B27*'Beer Revenue'!Y104</f>
        <v>163.0585289142852</v>
      </c>
      <c r="Y27" s="309">
        <f>$B27*'Beer Revenue'!Z104</f>
        <v>173.35926931612849</v>
      </c>
      <c r="Z27" s="309">
        <f>$B27*'Beer Revenue'!AA104</f>
        <v>244.58779337142781</v>
      </c>
      <c r="AA27" s="309">
        <f>$B27*'Beer Revenue'!AB104</f>
        <v>289.29739000921575</v>
      </c>
      <c r="AB27" s="309">
        <f>$B27*'Beer Revenue'!AC104</f>
        <v>326.11705782857041</v>
      </c>
      <c r="AC27" s="309">
        <f>$B27*'Beer Revenue'!AD104</f>
        <v>289.29739000921575</v>
      </c>
      <c r="AD27" s="309">
        <f>$B27*'Beer Revenue'!AE104</f>
        <v>271.76421485714201</v>
      </c>
      <c r="AE27" s="309">
        <f>$B27*'Beer Revenue'!AF104</f>
        <v>339.70526857142755</v>
      </c>
      <c r="AF27" s="309">
        <f>$B27*'Beer Revenue'!AG104</f>
        <v>328.74703410138147</v>
      </c>
      <c r="AG27" s="309">
        <f>$B27*'Beer Revenue'!AH104</f>
        <v>326.11705782857041</v>
      </c>
      <c r="AH27" s="309">
        <f>$B27*'Beer Revenue'!AI104</f>
        <v>236.69786455299464</v>
      </c>
      <c r="AI27" s="309">
        <f>$B27*'Beer Revenue'!AJ104</f>
        <v>217.41137188571361</v>
      </c>
      <c r="AJ27" s="312">
        <f t="shared" si="14"/>
        <v>3206.1602412460734</v>
      </c>
      <c r="AK27" s="309">
        <f>$C27*'Beer Revenue'!AL104</f>
        <v>182.95166944182802</v>
      </c>
      <c r="AL27" s="309">
        <f>$C27*'Beer Revenue'!AM104</f>
        <v>194.50910017269615</v>
      </c>
      <c r="AM27" s="309">
        <f>$C27*'Beer Revenue'!AN104</f>
        <v>274.42750416274203</v>
      </c>
      <c r="AN27" s="309">
        <f>$C27*'Beer Revenue'!AO104</f>
        <v>324.59167159034007</v>
      </c>
      <c r="AO27" s="309">
        <f>$C27*'Beer Revenue'!AP104</f>
        <v>365.90333888365603</v>
      </c>
      <c r="AP27" s="309">
        <f>$C27*'Beer Revenue'!AQ104</f>
        <v>324.59167159034007</v>
      </c>
      <c r="AQ27" s="309">
        <f>$C27*'Beer Revenue'!AR104</f>
        <v>304.91944906971332</v>
      </c>
      <c r="AR27" s="309">
        <f>$C27*'Beer Revenue'!AS104</f>
        <v>381.14931133714174</v>
      </c>
      <c r="AS27" s="309">
        <f>$C27*'Beer Revenue'!AT104</f>
        <v>368.85417226175002</v>
      </c>
      <c r="AT27" s="309">
        <f>$C27*'Beer Revenue'!AU104</f>
        <v>365.90333888365603</v>
      </c>
      <c r="AU27" s="309">
        <f>$C27*'Beer Revenue'!AV104</f>
        <v>265.57500402846006</v>
      </c>
      <c r="AV27" s="309">
        <f>$C27*'Beer Revenue'!AW104</f>
        <v>243.93555925577073</v>
      </c>
      <c r="AW27" s="312">
        <f t="shared" si="15"/>
        <v>3597.3117906780944</v>
      </c>
      <c r="AX27" s="309">
        <f>$D27*'Beer Revenue'!AY104</f>
        <v>195.94123797219783</v>
      </c>
      <c r="AY27" s="309">
        <f>$D27*'Beer Revenue'!AZ104</f>
        <v>208.31924628495761</v>
      </c>
      <c r="AZ27" s="309">
        <f>$D27*'Beer Revenue'!BA104</f>
        <v>293.91185695829677</v>
      </c>
      <c r="BA27" s="309">
        <f>$D27*'Beer Revenue'!BB104</f>
        <v>347.63768027325426</v>
      </c>
      <c r="BB27" s="309">
        <f>$D27*'Beer Revenue'!BC104</f>
        <v>391.88247594439565</v>
      </c>
      <c r="BC27" s="309">
        <f>$D27*'Beer Revenue'!BD104</f>
        <v>347.63768027325426</v>
      </c>
      <c r="BD27" s="309">
        <f>$D27*'Beer Revenue'!BE104</f>
        <v>326.56872995366297</v>
      </c>
      <c r="BE27" s="309">
        <f>$D27*'Beer Revenue'!BF104</f>
        <v>408.21091244207884</v>
      </c>
      <c r="BF27" s="309">
        <f>$D27*'Beer Revenue'!BG104</f>
        <v>395.04281849233433</v>
      </c>
      <c r="BG27" s="309">
        <f>$D27*'Beer Revenue'!BH104</f>
        <v>391.88247594439565</v>
      </c>
      <c r="BH27" s="309">
        <f>$D27*'Beer Revenue'!BI104</f>
        <v>284.43082931448072</v>
      </c>
      <c r="BI27" s="309">
        <f>$D27*'Beer Revenue'!BJ104</f>
        <v>261.25498396293045</v>
      </c>
      <c r="BJ27" s="312">
        <f t="shared" si="7"/>
        <v>3852.72092781624</v>
      </c>
      <c r="BK27" s="309">
        <f>$E27*'Beer Revenue'!BL104</f>
        <v>209.85306586822387</v>
      </c>
      <c r="BL27" s="309">
        <f>$E27*'Beer Revenue'!BM104</f>
        <v>223.10991277118964</v>
      </c>
      <c r="BM27" s="309">
        <f>$E27*'Beer Revenue'!BN104</f>
        <v>314.77959880233584</v>
      </c>
      <c r="BN27" s="309">
        <f>$E27*'Beer Revenue'!BO104</f>
        <v>372.31995557265532</v>
      </c>
      <c r="BO27" s="309">
        <f>$E27*'Beer Revenue'!BP104</f>
        <v>419.70613173644773</v>
      </c>
      <c r="BP27" s="309">
        <f>$E27*'Beer Revenue'!BQ104</f>
        <v>372.31995557265532</v>
      </c>
      <c r="BQ27" s="309">
        <f>$E27*'Beer Revenue'!BR104</f>
        <v>349.75510978037312</v>
      </c>
      <c r="BR27" s="309">
        <f>$E27*'Beer Revenue'!BS104</f>
        <v>437.19388722546643</v>
      </c>
      <c r="BS27" s="309">
        <f>$E27*'Beer Revenue'!BT104</f>
        <v>423.09085860529012</v>
      </c>
      <c r="BT27" s="309">
        <f>$E27*'Beer Revenue'!BU104</f>
        <v>419.70613173644773</v>
      </c>
      <c r="BU27" s="309">
        <f>$E27*'Beer Revenue'!BV104</f>
        <v>304.62541819580883</v>
      </c>
      <c r="BV27" s="309">
        <f>$E27*'Beer Revenue'!BW104</f>
        <v>279.80408782429856</v>
      </c>
      <c r="BW27" s="312">
        <f t="shared" si="8"/>
        <v>4126.2641136911925</v>
      </c>
      <c r="BX27" s="312">
        <f t="shared" si="9"/>
        <v>17515.75651183405</v>
      </c>
    </row>
    <row r="28" spans="1:76" ht="14.5">
      <c r="A28" s="59">
        <f>A12+'4pk costs'!$B$10</f>
        <v>247.87111111111011</v>
      </c>
      <c r="B28" s="59">
        <f>A28*(1+Assumptions!$D$75)</f>
        <v>252.82853333333233</v>
      </c>
      <c r="C28" s="59">
        <f>B28*(1+Assumptions!$E$75)</f>
        <v>257.88510399999899</v>
      </c>
      <c r="D28" s="59">
        <f>C28*(1+Assumptions!$F$75)</f>
        <v>263.04280607999897</v>
      </c>
      <c r="E28" s="59">
        <f>D28*(1+Assumptions!$G$75)</f>
        <v>268.30366220159897</v>
      </c>
      <c r="F28" s="2" t="str">
        <f t="shared" si="13"/>
        <v>Core 3 - Red Ale</v>
      </c>
      <c r="G28" s="2"/>
      <c r="H28" s="2"/>
      <c r="I28" s="2"/>
      <c r="J28" s="2"/>
      <c r="K28" s="309">
        <f>$A28*'Beer Revenue'!L105</f>
        <v>33.993752380952245</v>
      </c>
      <c r="L28" s="309">
        <f>$A28*'Beer Revenue'!M105</f>
        <v>36.141207168458628</v>
      </c>
      <c r="M28" s="309">
        <f>$A28*'Beer Revenue'!N105</f>
        <v>50.990628571428374</v>
      </c>
      <c r="N28" s="309">
        <f>$A28*'Beer Revenue'!O105</f>
        <v>60.311496159753986</v>
      </c>
      <c r="O28" s="309">
        <f>$A28*'Beer Revenue'!P105</f>
        <v>67.987504761904489</v>
      </c>
      <c r="P28" s="309">
        <f>$A28*'Beer Revenue'!Q105</f>
        <v>60.311496159753986</v>
      </c>
      <c r="Q28" s="309">
        <f>$A28*'Beer Revenue'!R105</f>
        <v>56.656253968253743</v>
      </c>
      <c r="R28" s="309">
        <f>$A28*'Beer Revenue'!S105</f>
        <v>70.820317460317199</v>
      </c>
      <c r="S28" s="309">
        <f>$A28*'Beer Revenue'!T105</f>
        <v>68.535791090629516</v>
      </c>
      <c r="T28" s="309">
        <f>$A28*'Beer Revenue'!U105</f>
        <v>67.987504761904489</v>
      </c>
      <c r="U28" s="309">
        <f>$A28*'Beer Revenue'!V105</f>
        <v>49.345769585253265</v>
      </c>
      <c r="V28" s="309">
        <f>$A28*'Beer Revenue'!W105</f>
        <v>45.325003174602998</v>
      </c>
      <c r="W28" s="312">
        <f t="shared" si="4"/>
        <v>668.40672524321292</v>
      </c>
      <c r="X28" s="317">
        <f>$B28*'Beer Revenue'!Y105</f>
        <v>39.87467154285698</v>
      </c>
      <c r="Y28" s="309">
        <f>$B28*'Beer Revenue'!Z105</f>
        <v>42.393636008601973</v>
      </c>
      <c r="Z28" s="309">
        <f>$B28*'Beer Revenue'!AA105</f>
        <v>59.812007314285481</v>
      </c>
      <c r="AA28" s="309">
        <f>$B28*'Beer Revenue'!AB105</f>
        <v>70.745384995391433</v>
      </c>
      <c r="AB28" s="309">
        <f>$B28*'Beer Revenue'!AC105</f>
        <v>79.74934308571396</v>
      </c>
      <c r="AC28" s="309">
        <f>$B28*'Beer Revenue'!AD105</f>
        <v>70.745384995391433</v>
      </c>
      <c r="AD28" s="309">
        <f>$B28*'Beer Revenue'!AE105</f>
        <v>66.45778590476165</v>
      </c>
      <c r="AE28" s="309">
        <f>$B28*'Beer Revenue'!AF105</f>
        <v>83.072232380952059</v>
      </c>
      <c r="AF28" s="309">
        <f>$B28*'Beer Revenue'!AG105</f>
        <v>80.39248294930843</v>
      </c>
      <c r="AG28" s="309">
        <f>$B28*'Beer Revenue'!AH105</f>
        <v>79.74934308571396</v>
      </c>
      <c r="AH28" s="309">
        <f>$B28*'Beer Revenue'!AI105</f>
        <v>57.88258772350207</v>
      </c>
      <c r="AI28" s="309">
        <f>$B28*'Beer Revenue'!AJ105</f>
        <v>53.166228723809311</v>
      </c>
      <c r="AJ28" s="312">
        <f t="shared" si="14"/>
        <v>784.04108871028859</v>
      </c>
      <c r="AK28" s="309">
        <f>$C28*'Beer Revenue'!AL105</f>
        <v>44.739381471085544</v>
      </c>
      <c r="AL28" s="309">
        <f>$C28*'Beer Revenue'!AM105</f>
        <v>47.565659601651426</v>
      </c>
      <c r="AM28" s="309">
        <f>$C28*'Beer Revenue'!AN105</f>
        <v>67.109072206628326</v>
      </c>
      <c r="AN28" s="309">
        <f>$C28*'Beer Revenue'!AO105</f>
        <v>79.376321964829188</v>
      </c>
      <c r="AO28" s="309">
        <f>$C28*'Beer Revenue'!AP105</f>
        <v>89.478762942171088</v>
      </c>
      <c r="AP28" s="309">
        <f>$C28*'Beer Revenue'!AQ105</f>
        <v>79.376321964829188</v>
      </c>
      <c r="AQ28" s="309">
        <f>$C28*'Beer Revenue'!AR105</f>
        <v>74.565635785142575</v>
      </c>
      <c r="AR28" s="309">
        <f>$C28*'Beer Revenue'!AS105</f>
        <v>93.20704473142824</v>
      </c>
      <c r="AS28" s="309">
        <f>$C28*'Beer Revenue'!AT105</f>
        <v>90.20036586912407</v>
      </c>
      <c r="AT28" s="309">
        <f>$C28*'Beer Revenue'!AU105</f>
        <v>89.478762942171088</v>
      </c>
      <c r="AU28" s="309">
        <f>$C28*'Beer Revenue'!AV105</f>
        <v>64.944263425769321</v>
      </c>
      <c r="AV28" s="309">
        <f>$C28*'Beer Revenue'!AW105</f>
        <v>59.652508628114056</v>
      </c>
      <c r="AW28" s="312">
        <f t="shared" si="15"/>
        <v>879.69410153294427</v>
      </c>
      <c r="AX28" s="309">
        <f>$D28*'Beer Revenue'!AY105</f>
        <v>47.915877555532617</v>
      </c>
      <c r="AY28" s="309">
        <f>$D28*'Beer Revenue'!AZ105</f>
        <v>50.942821433368671</v>
      </c>
      <c r="AZ28" s="309">
        <f>$D28*'Beer Revenue'!BA105</f>
        <v>71.873816333298933</v>
      </c>
      <c r="BA28" s="309">
        <f>$D28*'Beer Revenue'!BB105</f>
        <v>85.012040824332047</v>
      </c>
      <c r="BB28" s="309">
        <f>$D28*'Beer Revenue'!BC105</f>
        <v>95.831755111065235</v>
      </c>
      <c r="BC28" s="309">
        <f>$D28*'Beer Revenue'!BD105</f>
        <v>85.012040824332047</v>
      </c>
      <c r="BD28" s="309">
        <f>$D28*'Beer Revenue'!BE105</f>
        <v>79.859795925887695</v>
      </c>
      <c r="BE28" s="309">
        <f>$D28*'Beer Revenue'!BF105</f>
        <v>99.824744907359644</v>
      </c>
      <c r="BF28" s="309">
        <f>$D28*'Beer Revenue'!BG105</f>
        <v>96.604591845831877</v>
      </c>
      <c r="BG28" s="309">
        <f>$D28*'Beer Revenue'!BH105</f>
        <v>95.831755111065235</v>
      </c>
      <c r="BH28" s="309">
        <f>$D28*'Beer Revenue'!BI105</f>
        <v>69.55530612899895</v>
      </c>
      <c r="BI28" s="309">
        <f>$D28*'Beer Revenue'!BJ105</f>
        <v>63.887836740710163</v>
      </c>
      <c r="BJ28" s="312">
        <f t="shared" si="7"/>
        <v>942.1523827417833</v>
      </c>
      <c r="BK28" s="309">
        <f>$E28*'Beer Revenue'!BL105</f>
        <v>51.317904861975443</v>
      </c>
      <c r="BL28" s="309">
        <f>$E28*'Beer Revenue'!BM105</f>
        <v>54.559761755137863</v>
      </c>
      <c r="BM28" s="309">
        <f>$E28*'Beer Revenue'!BN105</f>
        <v>76.97685729296316</v>
      </c>
      <c r="BN28" s="309">
        <f>$E28*'Beer Revenue'!BO105</f>
        <v>91.047895722859636</v>
      </c>
      <c r="BO28" s="309">
        <f>$E28*'Beer Revenue'!BP105</f>
        <v>102.63580972395089</v>
      </c>
      <c r="BP28" s="309">
        <f>$E28*'Beer Revenue'!BQ105</f>
        <v>91.047895722859636</v>
      </c>
      <c r="BQ28" s="309">
        <f>$E28*'Beer Revenue'!BR105</f>
        <v>85.52984143662573</v>
      </c>
      <c r="BR28" s="309">
        <f>$E28*'Beer Revenue'!BS105</f>
        <v>106.91230179578218</v>
      </c>
      <c r="BS28" s="309">
        <f>$E28*'Beer Revenue'!BT105</f>
        <v>103.46351786688595</v>
      </c>
      <c r="BT28" s="309">
        <f>$E28*'Beer Revenue'!BU105</f>
        <v>102.63580972395089</v>
      </c>
      <c r="BU28" s="309">
        <f>$E28*'Beer Revenue'!BV105</f>
        <v>74.493732864157892</v>
      </c>
      <c r="BV28" s="309">
        <f>$E28*'Beer Revenue'!BW105</f>
        <v>68.423873149300576</v>
      </c>
      <c r="BW28" s="312">
        <f t="shared" si="8"/>
        <v>1009.0452019164497</v>
      </c>
      <c r="BX28" s="312">
        <f t="shared" si="9"/>
        <v>4283.3395001446788</v>
      </c>
    </row>
    <row r="29" spans="1:76" ht="14.5">
      <c r="A29" s="59">
        <f>A13+'4pk costs'!$B$10</f>
        <v>257.87111111111011</v>
      </c>
      <c r="B29" s="59">
        <f>A29*(1+Assumptions!$D$75)</f>
        <v>263.02853333333229</v>
      </c>
      <c r="C29" s="59">
        <f>B29*(1+Assumptions!$E$75)</f>
        <v>268.28910399999893</v>
      </c>
      <c r="D29" s="59">
        <f>C29*(1+Assumptions!$F$75)</f>
        <v>273.6548860799989</v>
      </c>
      <c r="E29" s="59">
        <f>D29*(1+Assumptions!$G$75)</f>
        <v>279.12798380159887</v>
      </c>
      <c r="F29" s="2" t="str">
        <f t="shared" si="13"/>
        <v>Core 4 - Dark (Porter?)</v>
      </c>
      <c r="G29" s="2"/>
      <c r="H29" s="2"/>
      <c r="I29" s="2"/>
      <c r="J29" s="2"/>
      <c r="K29" s="309">
        <f>$A29*'Beer Revenue'!L106</f>
        <v>35.365180952380818</v>
      </c>
      <c r="L29" s="309">
        <f>$A29*'Beer Revenue'!M106</f>
        <v>37.599271684587663</v>
      </c>
      <c r="M29" s="309">
        <f>$A29*'Beer Revenue'!N106</f>
        <v>53.047771428571231</v>
      </c>
      <c r="N29" s="309">
        <f>$A29*'Beer Revenue'!O106</f>
        <v>62.744675883256292</v>
      </c>
      <c r="O29" s="309">
        <f>$A29*'Beer Revenue'!P106</f>
        <v>70.730361904761637</v>
      </c>
      <c r="P29" s="309">
        <f>$A29*'Beer Revenue'!Q106</f>
        <v>62.744675883256292</v>
      </c>
      <c r="Q29" s="309">
        <f>$A29*'Beer Revenue'!R106</f>
        <v>58.941968253968028</v>
      </c>
      <c r="R29" s="309">
        <f>$A29*'Beer Revenue'!S106</f>
        <v>73.67746031746006</v>
      </c>
      <c r="S29" s="309">
        <f>$A29*'Beer Revenue'!T106</f>
        <v>71.300768049154854</v>
      </c>
      <c r="T29" s="309">
        <f>$A29*'Beer Revenue'!U106</f>
        <v>70.730361904761637</v>
      </c>
      <c r="U29" s="309">
        <f>$A29*'Beer Revenue'!V106</f>
        <v>51.336552995391514</v>
      </c>
      <c r="V29" s="309">
        <f>$A29*'Beer Revenue'!W106</f>
        <v>47.153574603174427</v>
      </c>
      <c r="W29" s="312">
        <f t="shared" si="4"/>
        <v>695.3726238607245</v>
      </c>
      <c r="X29" s="317">
        <f>$B29*'Beer Revenue'!Y106</f>
        <v>41.483357257142686</v>
      </c>
      <c r="Y29" s="309">
        <f>$B29*'Beer Revenue'!Z106</f>
        <v>44.103945686021326</v>
      </c>
      <c r="Z29" s="309">
        <f>$B29*'Beer Revenue'!AA106</f>
        <v>62.22503588571405</v>
      </c>
      <c r="AA29" s="309">
        <f>$B29*'Beer Revenue'!AB106</f>
        <v>73.599504811059617</v>
      </c>
      <c r="AB29" s="309">
        <f>$B29*'Beer Revenue'!AC106</f>
        <v>82.966714514285371</v>
      </c>
      <c r="AC29" s="309">
        <f>$B29*'Beer Revenue'!AD106</f>
        <v>73.599504811059617</v>
      </c>
      <c r="AD29" s="309">
        <f>$B29*'Beer Revenue'!AE106</f>
        <v>69.138928761904495</v>
      </c>
      <c r="AE29" s="309">
        <f>$B29*'Beer Revenue'!AF106</f>
        <v>86.423660952380629</v>
      </c>
      <c r="AF29" s="309">
        <f>$B29*'Beer Revenue'!AG106</f>
        <v>83.635800921658642</v>
      </c>
      <c r="AG29" s="309">
        <f>$B29*'Beer Revenue'!AH106</f>
        <v>82.966714514285371</v>
      </c>
      <c r="AH29" s="309">
        <f>$B29*'Beer Revenue'!AI106</f>
        <v>60.217776663594229</v>
      </c>
      <c r="AI29" s="309">
        <f>$B29*'Beer Revenue'!AJ106</f>
        <v>55.311143009523583</v>
      </c>
      <c r="AJ29" s="312">
        <f t="shared" si="14"/>
        <v>815.6720877886296</v>
      </c>
      <c r="AK29" s="309">
        <f>$C29*'Beer Revenue'!AL106</f>
        <v>46.544326842514103</v>
      </c>
      <c r="AL29" s="309">
        <f>$C29*'Beer Revenue'!AM106</f>
        <v>49.484627059715926</v>
      </c>
      <c r="AM29" s="309">
        <f>$C29*'Beer Revenue'!AN106</f>
        <v>69.816490263771158</v>
      </c>
      <c r="AN29" s="309">
        <f>$C29*'Beer Revenue'!AO106</f>
        <v>82.578644398008905</v>
      </c>
      <c r="AO29" s="309">
        <f>$C29*'Beer Revenue'!AP106</f>
        <v>93.088653685028206</v>
      </c>
      <c r="AP29" s="309">
        <f>$C29*'Beer Revenue'!AQ106</f>
        <v>82.578644398008905</v>
      </c>
      <c r="AQ29" s="309">
        <f>$C29*'Beer Revenue'!AR106</f>
        <v>77.57387807085685</v>
      </c>
      <c r="AR29" s="309">
        <f>$C29*'Beer Revenue'!AS106</f>
        <v>96.967347588571073</v>
      </c>
      <c r="AS29" s="309">
        <f>$C29*'Beer Revenue'!AT106</f>
        <v>93.839368634101007</v>
      </c>
      <c r="AT29" s="309">
        <f>$C29*'Beer Revenue'!AU106</f>
        <v>93.088653685028206</v>
      </c>
      <c r="AU29" s="309">
        <f>$C29*'Beer Revenue'!AV106</f>
        <v>67.564345416552726</v>
      </c>
      <c r="AV29" s="309">
        <f>$C29*'Beer Revenue'!AW106</f>
        <v>62.059102456685466</v>
      </c>
      <c r="AW29" s="312">
        <f t="shared" si="15"/>
        <v>915.1840824988426</v>
      </c>
      <c r="AX29" s="309">
        <f>$D29*'Beer Revenue'!AY106</f>
        <v>49.848974048332607</v>
      </c>
      <c r="AY29" s="309">
        <f>$D29*'Beer Revenue'!AZ106</f>
        <v>52.998035580955758</v>
      </c>
      <c r="AZ29" s="309">
        <f>$D29*'Beer Revenue'!BA106</f>
        <v>74.773461072498904</v>
      </c>
      <c r="BA29" s="309">
        <f>$D29*'Beer Revenue'!BB106</f>
        <v>88.441728150267522</v>
      </c>
      <c r="BB29" s="309">
        <f>$D29*'Beer Revenue'!BC106</f>
        <v>99.697948096665215</v>
      </c>
      <c r="BC29" s="309">
        <f>$D29*'Beer Revenue'!BD106</f>
        <v>88.441728150267522</v>
      </c>
      <c r="BD29" s="309">
        <f>$D29*'Beer Revenue'!BE106</f>
        <v>83.081623413887684</v>
      </c>
      <c r="BE29" s="309">
        <f>$D29*'Beer Revenue'!BF106</f>
        <v>103.85202926735961</v>
      </c>
      <c r="BF29" s="309">
        <f>$D29*'Beer Revenue'!BG106</f>
        <v>100.50196380712218</v>
      </c>
      <c r="BG29" s="309">
        <f>$D29*'Beer Revenue'!BH106</f>
        <v>99.697948096665215</v>
      </c>
      <c r="BH29" s="309">
        <f>$D29*'Beer Revenue'!BI106</f>
        <v>72.361413941127964</v>
      </c>
      <c r="BI29" s="309">
        <f>$D29*'Beer Revenue'!BJ106</f>
        <v>66.465298731110138</v>
      </c>
      <c r="BJ29" s="312">
        <f t="shared" si="7"/>
        <v>980.16215235626021</v>
      </c>
      <c r="BK29" s="309">
        <f>$E29*'Beer Revenue'!BL106</f>
        <v>53.388251205764227</v>
      </c>
      <c r="BL29" s="309">
        <f>$E29*'Beer Revenue'!BM106</f>
        <v>56.760896107203621</v>
      </c>
      <c r="BM29" s="309">
        <f>$E29*'Beer Revenue'!BN106</f>
        <v>80.08237680864633</v>
      </c>
      <c r="BN29" s="309">
        <f>$E29*'Beer Revenue'!BO106</f>
        <v>94.721090848936512</v>
      </c>
      <c r="BO29" s="309">
        <f>$E29*'Beer Revenue'!BP106</f>
        <v>106.77650241152845</v>
      </c>
      <c r="BP29" s="309">
        <f>$E29*'Beer Revenue'!BQ106</f>
        <v>94.721090848936512</v>
      </c>
      <c r="BQ29" s="309">
        <f>$E29*'Beer Revenue'!BR106</f>
        <v>88.9804186762737</v>
      </c>
      <c r="BR29" s="309">
        <f>$E29*'Beer Revenue'!BS106</f>
        <v>111.22552334534215</v>
      </c>
      <c r="BS29" s="309">
        <f>$E29*'Beer Revenue'!BT106</f>
        <v>107.63760323742785</v>
      </c>
      <c r="BT29" s="309">
        <f>$E29*'Beer Revenue'!BU106</f>
        <v>106.77650241152845</v>
      </c>
      <c r="BU29" s="309">
        <f>$E29*'Beer Revenue'!BV106</f>
        <v>77.499074330948062</v>
      </c>
      <c r="BV29" s="309">
        <f>$E29*'Beer Revenue'!BW106</f>
        <v>71.18433494101896</v>
      </c>
      <c r="BW29" s="312">
        <f t="shared" si="8"/>
        <v>1049.7536651735547</v>
      </c>
      <c r="BX29" s="312">
        <f t="shared" si="9"/>
        <v>4456.1446116780116</v>
      </c>
    </row>
    <row r="30" spans="1:76" ht="14.5">
      <c r="A30" s="59">
        <f>A14+'4pk costs'!$B$10</f>
        <v>317.87111111111011</v>
      </c>
      <c r="B30" s="59">
        <f>A30*(1+Assumptions!$D$75)</f>
        <v>324.22853333333234</v>
      </c>
      <c r="C30" s="59">
        <f>B30*(1+Assumptions!$E$75)</f>
        <v>330.71310399999896</v>
      </c>
      <c r="D30" s="59">
        <f>C30*(1+Assumptions!$F$75)</f>
        <v>337.32736607999897</v>
      </c>
      <c r="E30" s="59">
        <f>D30*(1+Assumptions!$G$75)</f>
        <v>344.07391340159893</v>
      </c>
      <c r="F30" s="2" t="str">
        <f t="shared" si="13"/>
        <v>Rotating Sour</v>
      </c>
      <c r="G30" s="2"/>
      <c r="H30" s="2"/>
      <c r="I30" s="2"/>
      <c r="J30" s="2"/>
      <c r="K30" s="309">
        <f>$A30*'Beer Revenue'!L107</f>
        <v>21.796876190476123</v>
      </c>
      <c r="L30" s="309">
        <f>$A30*'Beer Revenue'!M107</f>
        <v>23.173829390680925</v>
      </c>
      <c r="M30" s="309">
        <f>$A30*'Beer Revenue'!N107</f>
        <v>32.69531428571419</v>
      </c>
      <c r="N30" s="309">
        <f>$A30*'Beer Revenue'!O107</f>
        <v>38.671877112135057</v>
      </c>
      <c r="O30" s="309">
        <f>$A30*'Beer Revenue'!P107</f>
        <v>43.593752380952246</v>
      </c>
      <c r="P30" s="309">
        <f>$A30*'Beer Revenue'!Q107</f>
        <v>38.671877112135057</v>
      </c>
      <c r="Q30" s="309">
        <f>$A30*'Beer Revenue'!R107</f>
        <v>36.328126984126875</v>
      </c>
      <c r="R30" s="309">
        <f>$A30*'Beer Revenue'!S107</f>
        <v>45.410158730158599</v>
      </c>
      <c r="S30" s="309">
        <f>$A30*'Beer Revenue'!T107</f>
        <v>43.94531490015347</v>
      </c>
      <c r="T30" s="309">
        <f>$A30*'Beer Revenue'!U107</f>
        <v>43.593752380952246</v>
      </c>
      <c r="U30" s="309">
        <f>$A30*'Beer Revenue'!V107</f>
        <v>31.640626728110504</v>
      </c>
      <c r="V30" s="309">
        <f>$A30*'Beer Revenue'!W107</f>
        <v>29.062501587301501</v>
      </c>
      <c r="W30" s="312">
        <f t="shared" si="4"/>
        <v>428.58400778289678</v>
      </c>
      <c r="X30" s="317">
        <f>$B30*'Beer Revenue'!Y107</f>
        <v>25.567735771428488</v>
      </c>
      <c r="Y30" s="309">
        <f>$B30*'Beer Revenue'!Z107</f>
        <v>27.18290187526873</v>
      </c>
      <c r="Z30" s="309">
        <f>$B30*'Beer Revenue'!AA107</f>
        <v>38.351603657142746</v>
      </c>
      <c r="AA30" s="309">
        <f>$B30*'Beer Revenue'!AB107</f>
        <v>45.362111852534426</v>
      </c>
      <c r="AB30" s="309">
        <f>$B30*'Beer Revenue'!AC107</f>
        <v>51.135471542856976</v>
      </c>
      <c r="AC30" s="309">
        <f>$B30*'Beer Revenue'!AD107</f>
        <v>45.362111852534426</v>
      </c>
      <c r="AD30" s="309">
        <f>$B30*'Beer Revenue'!AE107</f>
        <v>42.612892952380825</v>
      </c>
      <c r="AE30" s="309">
        <f>$B30*'Beer Revenue'!AF107</f>
        <v>53.266116190476033</v>
      </c>
      <c r="AF30" s="309">
        <f>$B30*'Beer Revenue'!AG107</f>
        <v>51.547854377880022</v>
      </c>
      <c r="AG30" s="309">
        <f>$B30*'Beer Revenue'!AH107</f>
        <v>51.135471542856976</v>
      </c>
      <c r="AH30" s="309">
        <f>$B30*'Beer Revenue'!AI107</f>
        <v>37.114455152073617</v>
      </c>
      <c r="AI30" s="309">
        <f>$B30*'Beer Revenue'!AJ107</f>
        <v>34.090314361904653</v>
      </c>
      <c r="AJ30" s="312">
        <f t="shared" si="14"/>
        <v>502.72904112933793</v>
      </c>
      <c r="AK30" s="309">
        <f>$C30*'Beer Revenue'!AL107</f>
        <v>28.686999535542771</v>
      </c>
      <c r="AL30" s="309">
        <f>$C30*'Beer Revenue'!AM107</f>
        <v>30.499215904051514</v>
      </c>
      <c r="AM30" s="309">
        <f>$C30*'Beer Revenue'!AN107</f>
        <v>43.030499303314159</v>
      </c>
      <c r="AN30" s="309">
        <f>$C30*'Beer Revenue'!AO107</f>
        <v>50.896289498543624</v>
      </c>
      <c r="AO30" s="309">
        <f>$C30*'Beer Revenue'!AP107</f>
        <v>57.373999071085542</v>
      </c>
      <c r="AP30" s="309">
        <f>$C30*'Beer Revenue'!AQ107</f>
        <v>50.896289498543624</v>
      </c>
      <c r="AQ30" s="309">
        <f>$C30*'Beer Revenue'!AR107</f>
        <v>47.811665892571291</v>
      </c>
      <c r="AR30" s="309">
        <f>$C30*'Beer Revenue'!AS107</f>
        <v>59.764582365714119</v>
      </c>
      <c r="AS30" s="309">
        <f>$C30*'Beer Revenue'!AT107</f>
        <v>57.836692611981384</v>
      </c>
      <c r="AT30" s="309">
        <f>$C30*'Beer Revenue'!AU107</f>
        <v>57.373999071085542</v>
      </c>
      <c r="AU30" s="309">
        <f>$C30*'Beer Revenue'!AV107</f>
        <v>41.642418680626598</v>
      </c>
      <c r="AV30" s="309">
        <f>$C30*'Beer Revenue'!AW107</f>
        <v>38.249332714057026</v>
      </c>
      <c r="AW30" s="312">
        <f t="shared" si="15"/>
        <v>564.06198414711719</v>
      </c>
      <c r="AX30" s="309">
        <f>$D30*'Beer Revenue'!AY107</f>
        <v>30.723776502566309</v>
      </c>
      <c r="AY30" s="309">
        <f>$D30*'Beer Revenue'!AZ107</f>
        <v>32.664660233239175</v>
      </c>
      <c r="AZ30" s="309">
        <f>$D30*'Beer Revenue'!BA107</f>
        <v>46.085664753849464</v>
      </c>
      <c r="BA30" s="309">
        <f>$D30*'Beer Revenue'!BB107</f>
        <v>54.509926052940223</v>
      </c>
      <c r="BB30" s="309">
        <f>$D30*'Beer Revenue'!BC107</f>
        <v>61.447553005132619</v>
      </c>
      <c r="BC30" s="309">
        <f>$D30*'Beer Revenue'!BD107</f>
        <v>54.509926052940223</v>
      </c>
      <c r="BD30" s="309">
        <f>$D30*'Beer Revenue'!BE107</f>
        <v>51.206294170943849</v>
      </c>
      <c r="BE30" s="309">
        <f>$D30*'Beer Revenue'!BF107</f>
        <v>64.007867713679829</v>
      </c>
      <c r="BF30" s="309">
        <f>$D30*'Beer Revenue'!BG107</f>
        <v>61.943097787432066</v>
      </c>
      <c r="BG30" s="309">
        <f>$D30*'Beer Revenue'!BH107</f>
        <v>61.447553005132619</v>
      </c>
      <c r="BH30" s="309">
        <f>$D30*'Beer Revenue'!BI107</f>
        <v>44.599030406951087</v>
      </c>
      <c r="BI30" s="309">
        <f>$D30*'Beer Revenue'!BJ107</f>
        <v>40.965035336755079</v>
      </c>
      <c r="BJ30" s="312">
        <f t="shared" si="7"/>
        <v>604.11038502156248</v>
      </c>
      <c r="BK30" s="309">
        <f>$E30*'Beer Revenue'!BL107</f>
        <v>32.905164634248521</v>
      </c>
      <c r="BL30" s="309">
        <f>$E30*'Beer Revenue'!BM107</f>
        <v>34.983851109799161</v>
      </c>
      <c r="BM30" s="309">
        <f>$E30*'Beer Revenue'!BN107</f>
        <v>49.357746951372775</v>
      </c>
      <c r="BN30" s="309">
        <f>$E30*'Beer Revenue'!BO107</f>
        <v>58.380130802698972</v>
      </c>
      <c r="BO30" s="309">
        <f>$E30*'Beer Revenue'!BP107</f>
        <v>65.810329268497043</v>
      </c>
      <c r="BP30" s="309">
        <f>$E30*'Beer Revenue'!BQ107</f>
        <v>58.380130802698972</v>
      </c>
      <c r="BQ30" s="309">
        <f>$E30*'Beer Revenue'!BR107</f>
        <v>54.841941057080867</v>
      </c>
      <c r="BR30" s="309">
        <f>$E30*'Beer Revenue'!BS107</f>
        <v>68.552426321351092</v>
      </c>
      <c r="BS30" s="309">
        <f>$E30*'Beer Revenue'!BT107</f>
        <v>66.341057730339742</v>
      </c>
      <c r="BT30" s="309">
        <f>$E30*'Beer Revenue'!BU107</f>
        <v>65.810329268497043</v>
      </c>
      <c r="BU30" s="309">
        <f>$E30*'Beer Revenue'!BV107</f>
        <v>47.765561565844621</v>
      </c>
      <c r="BV30" s="309">
        <f>$E30*'Beer Revenue'!BW107</f>
        <v>43.87355284566469</v>
      </c>
      <c r="BW30" s="312">
        <f t="shared" si="8"/>
        <v>647.00222235809349</v>
      </c>
      <c r="BX30" s="312">
        <f t="shared" si="9"/>
        <v>2746.4876404390079</v>
      </c>
    </row>
    <row r="31" spans="1:76" ht="14.5">
      <c r="A31" s="59">
        <f>A15+'4pk costs'!$B$10</f>
        <v>267.87111111111011</v>
      </c>
      <c r="B31" s="59">
        <f>A31*(1+Assumptions!$D$75)</f>
        <v>273.22853333333234</v>
      </c>
      <c r="C31" s="59">
        <f>B31*(1+Assumptions!$E$75)</f>
        <v>278.69310399999898</v>
      </c>
      <c r="D31" s="59">
        <f>C31*(1+Assumptions!$F$75)</f>
        <v>284.26696607999895</v>
      </c>
      <c r="E31" s="59">
        <f>D31*(1+Assumptions!$G$75)</f>
        <v>289.95230540159895</v>
      </c>
      <c r="F31" s="2" t="str">
        <f t="shared" si="13"/>
        <v>Seasonal #1</v>
      </c>
      <c r="G31" s="2"/>
      <c r="H31" s="2"/>
      <c r="I31" s="2"/>
      <c r="J31" s="2"/>
      <c r="K31" s="309">
        <f>$A31*'Beer Revenue'!L108</f>
        <v>18.368304761904696</v>
      </c>
      <c r="L31" s="309">
        <f>$A31*'Beer Revenue'!M108</f>
        <v>19.528668100358345</v>
      </c>
      <c r="M31" s="309">
        <f>$A31*'Beer Revenue'!N108</f>
        <v>27.552457142857044</v>
      </c>
      <c r="N31" s="309">
        <f>$A31*'Beer Revenue'!O108</f>
        <v>32.588927803379299</v>
      </c>
      <c r="O31" s="309">
        <f>$A31*'Beer Revenue'!P108</f>
        <v>36.736609523809392</v>
      </c>
      <c r="P31" s="309">
        <f>$A31*'Beer Revenue'!Q108</f>
        <v>32.588927803379299</v>
      </c>
      <c r="Q31" s="309">
        <f>$A31*'Beer Revenue'!R108</f>
        <v>30.61384126984116</v>
      </c>
      <c r="R31" s="309">
        <f>$A31*'Beer Revenue'!S108</f>
        <v>38.267301587301461</v>
      </c>
      <c r="S31" s="309">
        <f>$A31*'Beer Revenue'!T108</f>
        <v>37.032872503840103</v>
      </c>
      <c r="T31" s="309">
        <f>$A31*'Beer Revenue'!U108</f>
        <v>36.736609523809392</v>
      </c>
      <c r="U31" s="309">
        <f>$A31*'Beer Revenue'!V108</f>
        <v>26.663668202764882</v>
      </c>
      <c r="V31" s="309">
        <f>$A31*'Beer Revenue'!W108</f>
        <v>24.491073015872928</v>
      </c>
      <c r="W31" s="312">
        <f t="shared" si="4"/>
        <v>361.16926123911799</v>
      </c>
      <c r="X31" s="317">
        <f>$B31*'Beer Revenue'!Y108</f>
        <v>21.546021485714206</v>
      </c>
      <c r="Y31" s="309">
        <f>$B31*'Beer Revenue'!Z108</f>
        <v>22.907127681720343</v>
      </c>
      <c r="Z31" s="309">
        <f>$B31*'Beer Revenue'!AA108</f>
        <v>32.319032228571317</v>
      </c>
      <c r="AA31" s="309">
        <f>$B31*'Beer Revenue'!AB108</f>
        <v>38.226812313363915</v>
      </c>
      <c r="AB31" s="309">
        <f>$B31*'Beer Revenue'!AC108</f>
        <v>43.092042971428413</v>
      </c>
      <c r="AC31" s="309">
        <f>$B31*'Beer Revenue'!AD108</f>
        <v>38.226812313363915</v>
      </c>
      <c r="AD31" s="309">
        <f>$B31*'Beer Revenue'!AE108</f>
        <v>35.910035809523684</v>
      </c>
      <c r="AE31" s="309">
        <f>$B31*'Beer Revenue'!AF108</f>
        <v>44.887544761904607</v>
      </c>
      <c r="AF31" s="309">
        <f>$B31*'Beer Revenue'!AG108</f>
        <v>43.439559447004441</v>
      </c>
      <c r="AG31" s="309">
        <f>$B31*'Beer Revenue'!AH108</f>
        <v>43.092042971428413</v>
      </c>
      <c r="AH31" s="309">
        <f>$B31*'Beer Revenue'!AI108</f>
        <v>31.276482801843205</v>
      </c>
      <c r="AI31" s="309">
        <f>$B31*'Beer Revenue'!AJ108</f>
        <v>28.728028647618942</v>
      </c>
      <c r="AJ31" s="312">
        <f t="shared" si="14"/>
        <v>423.65154343348547</v>
      </c>
      <c r="AK31" s="309">
        <f>$C31*'Beer Revenue'!AL108</f>
        <v>24.174636106971342</v>
      </c>
      <c r="AL31" s="309">
        <f>$C31*'Beer Revenue'!AM108</f>
        <v>25.701797258890227</v>
      </c>
      <c r="AM31" s="309">
        <f>$C31*'Beer Revenue'!AN108</f>
        <v>36.261954160457016</v>
      </c>
      <c r="AN31" s="309">
        <f>$C31*'Beer Revenue'!AO108</f>
        <v>42.890483415594318</v>
      </c>
      <c r="AO31" s="309">
        <f>$C31*'Beer Revenue'!AP108</f>
        <v>48.349272213942683</v>
      </c>
      <c r="AP31" s="309">
        <f>$C31*'Beer Revenue'!AQ108</f>
        <v>42.890483415594318</v>
      </c>
      <c r="AQ31" s="309">
        <f>$C31*'Beer Revenue'!AR108</f>
        <v>40.291060178285576</v>
      </c>
      <c r="AR31" s="309">
        <f>$C31*'Beer Revenue'!AS108</f>
        <v>50.363825222856974</v>
      </c>
      <c r="AS31" s="309">
        <f>$C31*'Beer Revenue'!AT108</f>
        <v>48.739185699538986</v>
      </c>
      <c r="AT31" s="309">
        <f>$C31*'Beer Revenue'!AU108</f>
        <v>48.349272213942683</v>
      </c>
      <c r="AU31" s="309">
        <f>$C31*'Beer Revenue'!AV108</f>
        <v>35.092213703668072</v>
      </c>
      <c r="AV31" s="309">
        <f>$C31*'Beer Revenue'!AW108</f>
        <v>32.232848142628455</v>
      </c>
      <c r="AW31" s="312">
        <f t="shared" si="15"/>
        <v>475.33703173237063</v>
      </c>
      <c r="AX31" s="309">
        <f>$D31*'Beer Revenue'!AY108</f>
        <v>25.891035270566306</v>
      </c>
      <c r="AY31" s="309">
        <f>$D31*'Beer Revenue'!AZ108</f>
        <v>27.526624864271433</v>
      </c>
      <c r="AZ31" s="309">
        <f>$D31*'Beer Revenue'!BA108</f>
        <v>38.836552905849459</v>
      </c>
      <c r="BA31" s="309">
        <f>$D31*'Beer Revenue'!BB108</f>
        <v>45.935707738101506</v>
      </c>
      <c r="BB31" s="309">
        <f>$D31*'Beer Revenue'!BC108</f>
        <v>51.782070541132612</v>
      </c>
      <c r="BC31" s="309">
        <f>$D31*'Beer Revenue'!BD108</f>
        <v>45.935707738101506</v>
      </c>
      <c r="BD31" s="309">
        <f>$D31*'Beer Revenue'!BE108</f>
        <v>43.151725450943843</v>
      </c>
      <c r="BE31" s="309">
        <f>$D31*'Beer Revenue'!BF108</f>
        <v>53.939656813679818</v>
      </c>
      <c r="BF31" s="309">
        <f>$D31*'Beer Revenue'!BG108</f>
        <v>52.199667884206256</v>
      </c>
      <c r="BG31" s="309">
        <f>$D31*'Beer Revenue'!BH108</f>
        <v>51.782070541132612</v>
      </c>
      <c r="BH31" s="309">
        <f>$D31*'Beer Revenue'!BI108</f>
        <v>37.583760876628503</v>
      </c>
      <c r="BI31" s="309">
        <f>$D31*'Beer Revenue'!BJ108</f>
        <v>34.521380360755082</v>
      </c>
      <c r="BJ31" s="312">
        <f t="shared" si="7"/>
        <v>509.0859609853689</v>
      </c>
      <c r="BK31" s="309">
        <f>$E31*'Beer Revenue'!BL108</f>
        <v>27.72929877477652</v>
      </c>
      <c r="BL31" s="309">
        <f>$E31*'Beer Revenue'!BM108</f>
        <v>29.481015229634711</v>
      </c>
      <c r="BM31" s="309">
        <f>$E31*'Beer Revenue'!BN108</f>
        <v>41.593948162164779</v>
      </c>
      <c r="BN31" s="309">
        <f>$E31*'Beer Revenue'!BO108</f>
        <v>49.197142987506716</v>
      </c>
      <c r="BO31" s="309">
        <f>$E31*'Beer Revenue'!BP108</f>
        <v>55.458597549553041</v>
      </c>
      <c r="BP31" s="309">
        <f>$E31*'Beer Revenue'!BQ108</f>
        <v>49.197142987506716</v>
      </c>
      <c r="BQ31" s="309">
        <f>$E31*'Beer Revenue'!BR108</f>
        <v>46.215497957960864</v>
      </c>
      <c r="BR31" s="309">
        <f>$E31*'Beer Revenue'!BS108</f>
        <v>57.76937244745109</v>
      </c>
      <c r="BS31" s="309">
        <f>$E31*'Beer Revenue'!BT108</f>
        <v>55.905844303984907</v>
      </c>
      <c r="BT31" s="309">
        <f>$E31*'Beer Revenue'!BU108</f>
        <v>55.458597549553041</v>
      </c>
      <c r="BU31" s="309">
        <f>$E31*'Beer Revenue'!BV108</f>
        <v>40.252207898869138</v>
      </c>
      <c r="BV31" s="309">
        <f>$E31*'Beer Revenue'!BW108</f>
        <v>36.972398366368687</v>
      </c>
      <c r="BW31" s="312">
        <f t="shared" si="8"/>
        <v>545.23106421533021</v>
      </c>
      <c r="BX31" s="312">
        <f t="shared" si="9"/>
        <v>2314.4748616056731</v>
      </c>
    </row>
    <row r="32" spans="1:76" ht="14.5">
      <c r="A32" s="59">
        <f>A16+'4pk costs'!$B$10</f>
        <v>247.87111111111011</v>
      </c>
      <c r="B32" s="59">
        <f>A32*(1+Assumptions!$D$75)</f>
        <v>252.82853333333233</v>
      </c>
      <c r="C32" s="59">
        <f>B32*(1+Assumptions!$E$75)</f>
        <v>257.88510399999899</v>
      </c>
      <c r="D32" s="59">
        <f>C32*(1+Assumptions!$F$75)</f>
        <v>263.04280607999897</v>
      </c>
      <c r="E32" s="59">
        <f>D32*(1+Assumptions!$G$75)</f>
        <v>268.30366220159897</v>
      </c>
      <c r="F32" s="2" t="str">
        <f t="shared" si="13"/>
        <v>Seasonal #2</v>
      </c>
      <c r="G32" s="2"/>
      <c r="H32" s="2"/>
      <c r="I32" s="2"/>
      <c r="J32" s="2"/>
      <c r="K32" s="309">
        <f>$A32*'Beer Revenue'!L109</f>
        <v>16.996876190476122</v>
      </c>
      <c r="L32" s="309">
        <f>$A32*'Beer Revenue'!M109</f>
        <v>18.070603584229314</v>
      </c>
      <c r="M32" s="309">
        <f>$A32*'Beer Revenue'!N109</f>
        <v>25.495314285714187</v>
      </c>
      <c r="N32" s="309">
        <f>$A32*'Beer Revenue'!O109</f>
        <v>30.155748079876993</v>
      </c>
      <c r="O32" s="309">
        <f>$A32*'Beer Revenue'!P109</f>
        <v>33.993752380952245</v>
      </c>
      <c r="P32" s="309">
        <f>$A32*'Beer Revenue'!Q109</f>
        <v>30.155748079876993</v>
      </c>
      <c r="Q32" s="309">
        <f>$A32*'Beer Revenue'!R109</f>
        <v>28.328126984126872</v>
      </c>
      <c r="R32" s="309">
        <f>$A32*'Beer Revenue'!S109</f>
        <v>35.410158730158599</v>
      </c>
      <c r="S32" s="309">
        <f>$A32*'Beer Revenue'!T109</f>
        <v>34.267895545314758</v>
      </c>
      <c r="T32" s="309">
        <f>$A32*'Beer Revenue'!U109</f>
        <v>33.993752380952245</v>
      </c>
      <c r="U32" s="309">
        <f>$A32*'Beer Revenue'!V109</f>
        <v>24.672884792626633</v>
      </c>
      <c r="V32" s="309">
        <f>$A32*'Beer Revenue'!W109</f>
        <v>22.662501587301499</v>
      </c>
      <c r="W32" s="312">
        <f t="shared" si="4"/>
        <v>334.20336262160646</v>
      </c>
      <c r="X32" s="317">
        <f>$B32*'Beer Revenue'!Y109</f>
        <v>19.93733577142849</v>
      </c>
      <c r="Y32" s="309">
        <f>$B32*'Beer Revenue'!Z109</f>
        <v>21.196818004300987</v>
      </c>
      <c r="Z32" s="309">
        <f>$B32*'Beer Revenue'!AA109</f>
        <v>29.90600365714274</v>
      </c>
      <c r="AA32" s="309">
        <f>$B32*'Beer Revenue'!AB109</f>
        <v>35.372692497695716</v>
      </c>
      <c r="AB32" s="309">
        <f>$B32*'Beer Revenue'!AC109</f>
        <v>39.87467154285698</v>
      </c>
      <c r="AC32" s="309">
        <f>$B32*'Beer Revenue'!AD109</f>
        <v>35.372692497695716</v>
      </c>
      <c r="AD32" s="309">
        <f>$B32*'Beer Revenue'!AE109</f>
        <v>33.228892952380825</v>
      </c>
      <c r="AE32" s="309">
        <f>$B32*'Beer Revenue'!AF109</f>
        <v>41.536116190476029</v>
      </c>
      <c r="AF32" s="309">
        <f>$B32*'Beer Revenue'!AG109</f>
        <v>40.196241474654215</v>
      </c>
      <c r="AG32" s="309">
        <f>$B32*'Beer Revenue'!AH109</f>
        <v>39.87467154285698</v>
      </c>
      <c r="AH32" s="309">
        <f>$B32*'Beer Revenue'!AI109</f>
        <v>28.941293861751035</v>
      </c>
      <c r="AI32" s="309">
        <f>$B32*'Beer Revenue'!AJ109</f>
        <v>26.583114361904656</v>
      </c>
      <c r="AJ32" s="312">
        <f t="shared" si="14"/>
        <v>392.0205443551443</v>
      </c>
      <c r="AK32" s="309">
        <f>$C32*'Beer Revenue'!AL109</f>
        <v>22.369690735542772</v>
      </c>
      <c r="AL32" s="309">
        <f>$C32*'Beer Revenue'!AM109</f>
        <v>23.782829800825713</v>
      </c>
      <c r="AM32" s="309">
        <f>$C32*'Beer Revenue'!AN109</f>
        <v>33.554536103314163</v>
      </c>
      <c r="AN32" s="309">
        <f>$C32*'Beer Revenue'!AO109</f>
        <v>39.688160982414594</v>
      </c>
      <c r="AO32" s="309">
        <f>$C32*'Beer Revenue'!AP109</f>
        <v>44.739381471085544</v>
      </c>
      <c r="AP32" s="309">
        <f>$C32*'Beer Revenue'!AQ109</f>
        <v>39.688160982414594</v>
      </c>
      <c r="AQ32" s="309">
        <f>$C32*'Beer Revenue'!AR109</f>
        <v>37.282817892571288</v>
      </c>
      <c r="AR32" s="309">
        <f>$C32*'Beer Revenue'!AS109</f>
        <v>46.60352236571412</v>
      </c>
      <c r="AS32" s="309">
        <f>$C32*'Beer Revenue'!AT109</f>
        <v>45.100182934562035</v>
      </c>
      <c r="AT32" s="309">
        <f>$C32*'Beer Revenue'!AU109</f>
        <v>44.739381471085544</v>
      </c>
      <c r="AU32" s="309">
        <f>$C32*'Beer Revenue'!AV109</f>
        <v>32.472131712884661</v>
      </c>
      <c r="AV32" s="309">
        <f>$C32*'Beer Revenue'!AW109</f>
        <v>29.826254314057028</v>
      </c>
      <c r="AW32" s="312">
        <f t="shared" si="15"/>
        <v>439.84705076647214</v>
      </c>
      <c r="AX32" s="309">
        <f>$D32*'Beer Revenue'!AY109</f>
        <v>23.957938777766309</v>
      </c>
      <c r="AY32" s="309">
        <f>$D32*'Beer Revenue'!AZ109</f>
        <v>25.471410716684336</v>
      </c>
      <c r="AZ32" s="309">
        <f>$D32*'Beer Revenue'!BA109</f>
        <v>35.936908166649467</v>
      </c>
      <c r="BA32" s="309">
        <f>$D32*'Beer Revenue'!BB109</f>
        <v>42.506020412166023</v>
      </c>
      <c r="BB32" s="309">
        <f>$D32*'Beer Revenue'!BC109</f>
        <v>47.915877555532617</v>
      </c>
      <c r="BC32" s="309">
        <f>$D32*'Beer Revenue'!BD109</f>
        <v>42.506020412166023</v>
      </c>
      <c r="BD32" s="309">
        <f>$D32*'Beer Revenue'!BE109</f>
        <v>39.929897962943848</v>
      </c>
      <c r="BE32" s="309">
        <f>$D32*'Beer Revenue'!BF109</f>
        <v>49.912372453679822</v>
      </c>
      <c r="BF32" s="309">
        <f>$D32*'Beer Revenue'!BG109</f>
        <v>48.302295922915938</v>
      </c>
      <c r="BG32" s="309">
        <f>$D32*'Beer Revenue'!BH109</f>
        <v>47.915877555532617</v>
      </c>
      <c r="BH32" s="309">
        <f>$D32*'Beer Revenue'!BI109</f>
        <v>34.777653064499475</v>
      </c>
      <c r="BI32" s="309">
        <f>$D32*'Beer Revenue'!BJ109</f>
        <v>31.943918370355082</v>
      </c>
      <c r="BJ32" s="312">
        <f t="shared" si="7"/>
        <v>471.07619137089165</v>
      </c>
      <c r="BK32" s="309">
        <f>$E32*'Beer Revenue'!BL109</f>
        <v>25.658952430987721</v>
      </c>
      <c r="BL32" s="309">
        <f>$E32*'Beer Revenue'!BM109</f>
        <v>27.279880877568932</v>
      </c>
      <c r="BM32" s="309">
        <f>$E32*'Beer Revenue'!BN109</f>
        <v>38.48842864648158</v>
      </c>
      <c r="BN32" s="309">
        <f>$E32*'Beer Revenue'!BO109</f>
        <v>45.523947861429818</v>
      </c>
      <c r="BO32" s="309">
        <f>$E32*'Beer Revenue'!BP109</f>
        <v>51.317904861975443</v>
      </c>
      <c r="BP32" s="309">
        <f>$E32*'Beer Revenue'!BQ109</f>
        <v>45.523947861429818</v>
      </c>
      <c r="BQ32" s="309">
        <f>$E32*'Beer Revenue'!BR109</f>
        <v>42.764920718312865</v>
      </c>
      <c r="BR32" s="309">
        <f>$E32*'Beer Revenue'!BS109</f>
        <v>53.456150897891092</v>
      </c>
      <c r="BS32" s="309">
        <f>$E32*'Beer Revenue'!BT109</f>
        <v>51.731758933442975</v>
      </c>
      <c r="BT32" s="309">
        <f>$E32*'Beer Revenue'!BU109</f>
        <v>51.317904861975443</v>
      </c>
      <c r="BU32" s="309">
        <f>$E32*'Beer Revenue'!BV109</f>
        <v>37.246866432078946</v>
      </c>
      <c r="BV32" s="309">
        <f>$E32*'Beer Revenue'!BW109</f>
        <v>34.211936574650288</v>
      </c>
      <c r="BW32" s="312">
        <f t="shared" si="8"/>
        <v>504.52260095822487</v>
      </c>
      <c r="BX32" s="312">
        <f t="shared" si="9"/>
        <v>2141.6697500723394</v>
      </c>
    </row>
    <row r="33" spans="1:76" ht="14.5">
      <c r="A33" s="59">
        <f>A17+'4pk costs'!$B$10</f>
        <v>277.87111111111011</v>
      </c>
      <c r="B33" s="59">
        <f>A33*(1+Assumptions!$D$75)</f>
        <v>283.42853333333233</v>
      </c>
      <c r="C33" s="59">
        <f>B33*(1+Assumptions!$E$75)</f>
        <v>289.09710399999898</v>
      </c>
      <c r="D33" s="59">
        <f>C33*(1+Assumptions!$F$75)</f>
        <v>294.87904607999894</v>
      </c>
      <c r="E33" s="59">
        <f>D33*(1+Assumptions!$G$75)</f>
        <v>300.77662700159891</v>
      </c>
      <c r="F33" s="2" t="str">
        <f t="shared" si="13"/>
        <v>Rotating IPA #1</v>
      </c>
      <c r="G33" s="2"/>
      <c r="H33" s="2"/>
      <c r="I33" s="2"/>
      <c r="J33" s="2"/>
      <c r="K33" s="309">
        <f>$A33*'Beer Revenue'!L110</f>
        <v>38.108038095237958</v>
      </c>
      <c r="L33" s="309">
        <f>$A33*'Beer Revenue'!M110</f>
        <v>40.515400716845726</v>
      </c>
      <c r="M33" s="309">
        <f>$A33*'Beer Revenue'!N110</f>
        <v>57.162057142856945</v>
      </c>
      <c r="N33" s="309">
        <f>$A33*'Beer Revenue'!O110</f>
        <v>67.611035330260904</v>
      </c>
      <c r="O33" s="309">
        <f>$A33*'Beer Revenue'!P110</f>
        <v>76.216076190475917</v>
      </c>
      <c r="P33" s="309">
        <f>$A33*'Beer Revenue'!Q110</f>
        <v>67.611035330260904</v>
      </c>
      <c r="Q33" s="309">
        <f>$A33*'Beer Revenue'!R110</f>
        <v>63.513396825396605</v>
      </c>
      <c r="R33" s="309">
        <f>$A33*'Beer Revenue'!S110</f>
        <v>79.391746031745768</v>
      </c>
      <c r="S33" s="309">
        <f>$A33*'Beer Revenue'!T110</f>
        <v>76.830721966205559</v>
      </c>
      <c r="T33" s="309">
        <f>$A33*'Beer Revenue'!U110</f>
        <v>76.216076190475917</v>
      </c>
      <c r="U33" s="309">
        <f>$A33*'Beer Revenue'!V110</f>
        <v>55.318119815668013</v>
      </c>
      <c r="V33" s="309">
        <f>$A33*'Beer Revenue'!W110</f>
        <v>50.810717460317285</v>
      </c>
      <c r="W33" s="312">
        <f t="shared" si="4"/>
        <v>749.30442109574767</v>
      </c>
      <c r="X33" s="317">
        <f>$B33*'Beer Revenue'!Y110</f>
        <v>44.700728685714118</v>
      </c>
      <c r="Y33" s="309">
        <f>$B33*'Beer Revenue'!Z110</f>
        <v>47.52456504086004</v>
      </c>
      <c r="Z33" s="309">
        <f>$B33*'Beer Revenue'!AA110</f>
        <v>67.051093028571202</v>
      </c>
      <c r="AA33" s="309">
        <f>$B33*'Beer Revenue'!AB110</f>
        <v>79.307744442396029</v>
      </c>
      <c r="AB33" s="309">
        <f>$B33*'Beer Revenue'!AC110</f>
        <v>89.401457371428236</v>
      </c>
      <c r="AC33" s="309">
        <f>$B33*'Beer Revenue'!AD110</f>
        <v>79.307744442396029</v>
      </c>
      <c r="AD33" s="309">
        <f>$B33*'Beer Revenue'!AE110</f>
        <v>74.501214476190228</v>
      </c>
      <c r="AE33" s="309">
        <f>$B33*'Beer Revenue'!AF110</f>
        <v>93.126518095237785</v>
      </c>
      <c r="AF33" s="309">
        <f>$B33*'Beer Revenue'!AG110</f>
        <v>90.122436866359109</v>
      </c>
      <c r="AG33" s="309">
        <f>$B33*'Beer Revenue'!AH110</f>
        <v>89.401457371428236</v>
      </c>
      <c r="AH33" s="309">
        <f>$B33*'Beer Revenue'!AI110</f>
        <v>64.888154543778569</v>
      </c>
      <c r="AI33" s="309">
        <f>$B33*'Beer Revenue'!AJ110</f>
        <v>59.600971580952162</v>
      </c>
      <c r="AJ33" s="312">
        <f t="shared" si="14"/>
        <v>878.93408594531184</v>
      </c>
      <c r="AK33" s="309">
        <f>$C33*'Beer Revenue'!AL110</f>
        <v>50.154217585371256</v>
      </c>
      <c r="AL33" s="309">
        <f>$C33*'Beer Revenue'!AM110</f>
        <v>53.32256197584497</v>
      </c>
      <c r="AM33" s="309">
        <f>$C33*'Beer Revenue'!AN110</f>
        <v>75.231326378056892</v>
      </c>
      <c r="AN33" s="309">
        <f>$C33*'Beer Revenue'!AO110</f>
        <v>88.983289264368366</v>
      </c>
      <c r="AO33" s="309">
        <f>$C33*'Beer Revenue'!AP110</f>
        <v>100.30843517074251</v>
      </c>
      <c r="AP33" s="309">
        <f>$C33*'Beer Revenue'!AQ110</f>
        <v>88.983289264368366</v>
      </c>
      <c r="AQ33" s="309">
        <f>$C33*'Beer Revenue'!AR110</f>
        <v>83.590362642285442</v>
      </c>
      <c r="AR33" s="309">
        <f>$C33*'Beer Revenue'!AS110</f>
        <v>104.48795330285681</v>
      </c>
      <c r="AS33" s="309">
        <f>$C33*'Beer Revenue'!AT110</f>
        <v>101.11737416405494</v>
      </c>
      <c r="AT33" s="309">
        <f>$C33*'Beer Revenue'!AU110</f>
        <v>100.30843517074251</v>
      </c>
      <c r="AU33" s="309">
        <f>$C33*'Beer Revenue'!AV110</f>
        <v>72.804509398119549</v>
      </c>
      <c r="AV33" s="309">
        <f>$C33*'Beer Revenue'!AW110</f>
        <v>66.872290113828342</v>
      </c>
      <c r="AW33" s="312">
        <f t="shared" si="15"/>
        <v>986.16404443063993</v>
      </c>
      <c r="AX33" s="309">
        <f>$D33*'Beer Revenue'!AY110</f>
        <v>53.715167033932609</v>
      </c>
      <c r="AY33" s="309">
        <f>$D33*'Beer Revenue'!AZ110</f>
        <v>57.10846387612996</v>
      </c>
      <c r="AZ33" s="309">
        <f>$D33*'Beer Revenue'!BA110</f>
        <v>80.572750550898917</v>
      </c>
      <c r="BA33" s="309">
        <f>$D33*'Beer Revenue'!BB110</f>
        <v>95.301102802138502</v>
      </c>
      <c r="BB33" s="309">
        <f>$D33*'Beer Revenue'!BC110</f>
        <v>107.43033406786522</v>
      </c>
      <c r="BC33" s="309">
        <f>$D33*'Beer Revenue'!BD110</f>
        <v>95.301102802138502</v>
      </c>
      <c r="BD33" s="309">
        <f>$D33*'Beer Revenue'!BE110</f>
        <v>89.525278389887688</v>
      </c>
      <c r="BE33" s="309">
        <f>$D33*'Beer Revenue'!BF110</f>
        <v>111.90659798735963</v>
      </c>
      <c r="BF33" s="309">
        <f>$D33*'Beer Revenue'!BG110</f>
        <v>108.29670772970283</v>
      </c>
      <c r="BG33" s="309">
        <f>$D33*'Beer Revenue'!BH110</f>
        <v>107.43033406786522</v>
      </c>
      <c r="BH33" s="309">
        <f>$D33*'Beer Revenue'!BI110</f>
        <v>77.973629565386048</v>
      </c>
      <c r="BI33" s="309">
        <f>$D33*'Beer Revenue'!BJ110</f>
        <v>71.620222711910159</v>
      </c>
      <c r="BJ33" s="312">
        <f t="shared" si="7"/>
        <v>1056.1816915852153</v>
      </c>
      <c r="BK33" s="309">
        <f>$E33*'Beer Revenue'!BL110</f>
        <v>57.528943893341832</v>
      </c>
      <c r="BL33" s="309">
        <f>$E33*'Beer Revenue'!BM110</f>
        <v>61.163164811335193</v>
      </c>
      <c r="BM33" s="309">
        <f>$E33*'Beer Revenue'!BN110</f>
        <v>86.293415840012742</v>
      </c>
      <c r="BN33" s="309">
        <f>$E33*'Beer Revenue'!BO110</f>
        <v>102.06748110109032</v>
      </c>
      <c r="BO33" s="309">
        <f>$E33*'Beer Revenue'!BP110</f>
        <v>115.05788778668366</v>
      </c>
      <c r="BP33" s="309">
        <f>$E33*'Beer Revenue'!BQ110</f>
        <v>102.06748110109032</v>
      </c>
      <c r="BQ33" s="309">
        <f>$E33*'Beer Revenue'!BR110</f>
        <v>95.881573155569725</v>
      </c>
      <c r="BR33" s="309">
        <f>$E33*'Beer Revenue'!BS110</f>
        <v>119.85196644446216</v>
      </c>
      <c r="BS33" s="309">
        <f>$E33*'Beer Revenue'!BT110</f>
        <v>115.98577397851174</v>
      </c>
      <c r="BT33" s="309">
        <f>$E33*'Beer Revenue'!BU110</f>
        <v>115.05788778668366</v>
      </c>
      <c r="BU33" s="309">
        <f>$E33*'Beer Revenue'!BV110</f>
        <v>83.50975726452846</v>
      </c>
      <c r="BV33" s="309">
        <f>$E33*'Beer Revenue'!BW110</f>
        <v>76.705258524455772</v>
      </c>
      <c r="BW33" s="312">
        <f t="shared" si="8"/>
        <v>1131.1705916877654</v>
      </c>
      <c r="BX33" s="312">
        <f t="shared" si="9"/>
        <v>4801.75483474468</v>
      </c>
    </row>
    <row r="34" spans="1:76" ht="14.5">
      <c r="A34" s="59">
        <f>A18+'4pk costs'!$B$10</f>
        <v>307.87111111111011</v>
      </c>
      <c r="B34" s="59">
        <f>A34*(1+Assumptions!$D$75)</f>
        <v>314.02853333333229</v>
      </c>
      <c r="C34" s="59">
        <f>B34*(1+Assumptions!$E$75)</f>
        <v>320.30910399999897</v>
      </c>
      <c r="D34" s="59">
        <f>C34*(1+Assumptions!$F$75)</f>
        <v>326.71528607999898</v>
      </c>
      <c r="E34" s="59">
        <f>D34*(1+Assumptions!$G$75)</f>
        <v>333.24959180159897</v>
      </c>
      <c r="F34" s="2" t="str">
        <f t="shared" si="13"/>
        <v>Rotating IPA #2</v>
      </c>
      <c r="G34" s="2"/>
      <c r="H34" s="2"/>
      <c r="I34" s="2"/>
      <c r="J34" s="2"/>
      <c r="K34" s="309">
        <f>$A34*'Beer Revenue'!L111</f>
        <v>21.111161904761836</v>
      </c>
      <c r="L34" s="309">
        <f>$A34*'Beer Revenue'!M111</f>
        <v>22.444797132616412</v>
      </c>
      <c r="M34" s="309">
        <f>$A34*'Beer Revenue'!N111</f>
        <v>31.666742857142758</v>
      </c>
      <c r="N34" s="309">
        <f>$A34*'Beer Revenue'!O111</f>
        <v>37.455287250383911</v>
      </c>
      <c r="O34" s="309">
        <f>$A34*'Beer Revenue'!P111</f>
        <v>42.222323809523672</v>
      </c>
      <c r="P34" s="309">
        <f>$A34*'Beer Revenue'!Q111</f>
        <v>37.455287250383911</v>
      </c>
      <c r="Q34" s="309">
        <f>$A34*'Beer Revenue'!R111</f>
        <v>35.185269841269729</v>
      </c>
      <c r="R34" s="309">
        <f>$A34*'Beer Revenue'!S111</f>
        <v>43.981587301587176</v>
      </c>
      <c r="S34" s="309">
        <f>$A34*'Beer Revenue'!T111</f>
        <v>42.562826420890794</v>
      </c>
      <c r="T34" s="309">
        <f>$A34*'Beer Revenue'!U111</f>
        <v>42.222323809523672</v>
      </c>
      <c r="U34" s="309">
        <f>$A34*'Beer Revenue'!V111</f>
        <v>30.64523502304138</v>
      </c>
      <c r="V34" s="309">
        <f>$A34*'Beer Revenue'!W111</f>
        <v>28.148215873015786</v>
      </c>
      <c r="W34" s="312">
        <f t="shared" si="4"/>
        <v>415.1010584741411</v>
      </c>
      <c r="X34" s="317">
        <f>$B34*'Beer Revenue'!Y111</f>
        <v>24.763392914285628</v>
      </c>
      <c r="Y34" s="309">
        <f>$B34*'Beer Revenue'!Z111</f>
        <v>26.32774703655905</v>
      </c>
      <c r="Z34" s="309">
        <f>$B34*'Beer Revenue'!AA111</f>
        <v>37.145089371428455</v>
      </c>
      <c r="AA34" s="309">
        <f>$B34*'Beer Revenue'!AB111</f>
        <v>43.935051944700319</v>
      </c>
      <c r="AB34" s="309">
        <f>$B34*'Beer Revenue'!AC111</f>
        <v>49.526785828571256</v>
      </c>
      <c r="AC34" s="309">
        <f>$B34*'Beer Revenue'!AD111</f>
        <v>43.935051944700319</v>
      </c>
      <c r="AD34" s="309">
        <f>$B34*'Beer Revenue'!AE111</f>
        <v>41.272321523809396</v>
      </c>
      <c r="AE34" s="309">
        <f>$B34*'Beer Revenue'!AF111</f>
        <v>51.590401904761741</v>
      </c>
      <c r="AF34" s="309">
        <f>$B34*'Beer Revenue'!AG111</f>
        <v>49.926195391704894</v>
      </c>
      <c r="AG34" s="309">
        <f>$B34*'Beer Revenue'!AH111</f>
        <v>49.526785828571256</v>
      </c>
      <c r="AH34" s="309">
        <f>$B34*'Beer Revenue'!AI111</f>
        <v>35.946860682027527</v>
      </c>
      <c r="AI34" s="309">
        <f>$B34*'Beer Revenue'!AJ111</f>
        <v>33.017857219047507</v>
      </c>
      <c r="AJ34" s="312">
        <f t="shared" si="14"/>
        <v>486.91354159016731</v>
      </c>
      <c r="AK34" s="309">
        <f>$C34*'Beer Revenue'!AL111</f>
        <v>27.784526849828485</v>
      </c>
      <c r="AL34" s="309">
        <f>$C34*'Beer Revenue'!AM111</f>
        <v>29.539732175019257</v>
      </c>
      <c r="AM34" s="309">
        <f>$C34*'Beer Revenue'!AN111</f>
        <v>41.676790274742729</v>
      </c>
      <c r="AN34" s="309">
        <f>$C34*'Beer Revenue'!AO111</f>
        <v>49.295128281953765</v>
      </c>
      <c r="AO34" s="309">
        <f>$C34*'Beer Revenue'!AP111</f>
        <v>55.569053699656969</v>
      </c>
      <c r="AP34" s="309">
        <f>$C34*'Beer Revenue'!AQ111</f>
        <v>49.295128281953765</v>
      </c>
      <c r="AQ34" s="309">
        <f>$C34*'Beer Revenue'!AR111</f>
        <v>46.307544749714147</v>
      </c>
      <c r="AR34" s="309">
        <f>$C34*'Beer Revenue'!AS111</f>
        <v>57.884430937142689</v>
      </c>
      <c r="AS34" s="309">
        <f>$C34*'Beer Revenue'!AT111</f>
        <v>56.017191229492902</v>
      </c>
      <c r="AT34" s="309">
        <f>$C34*'Beer Revenue'!AU111</f>
        <v>55.569053699656969</v>
      </c>
      <c r="AU34" s="309">
        <f>$C34*'Beer Revenue'!AV111</f>
        <v>40.332377685234889</v>
      </c>
      <c r="AV34" s="309">
        <f>$C34*'Beer Revenue'!AW111</f>
        <v>37.04603579977131</v>
      </c>
      <c r="AW34" s="312">
        <f t="shared" si="15"/>
        <v>546.31699366416785</v>
      </c>
      <c r="AX34" s="309">
        <f>$D34*'Beer Revenue'!AY111</f>
        <v>29.757228256166311</v>
      </c>
      <c r="AY34" s="309">
        <f>$D34*'Beer Revenue'!AZ111</f>
        <v>31.637053159445628</v>
      </c>
      <c r="AZ34" s="309">
        <f>$D34*'Beer Revenue'!BA111</f>
        <v>44.635842384249464</v>
      </c>
      <c r="BA34" s="309">
        <f>$D34*'Beer Revenue'!BB111</f>
        <v>52.795082389972478</v>
      </c>
      <c r="BB34" s="309">
        <f>$D34*'Beer Revenue'!BC111</f>
        <v>59.514456512332622</v>
      </c>
      <c r="BC34" s="309">
        <f>$D34*'Beer Revenue'!BD111</f>
        <v>52.795082389972478</v>
      </c>
      <c r="BD34" s="309">
        <f>$D34*'Beer Revenue'!BE111</f>
        <v>49.595380426943848</v>
      </c>
      <c r="BE34" s="309">
        <f>$D34*'Beer Revenue'!BF111</f>
        <v>61.994225533679824</v>
      </c>
      <c r="BF34" s="309">
        <f>$D34*'Beer Revenue'!BG111</f>
        <v>59.994411806786907</v>
      </c>
      <c r="BG34" s="309">
        <f>$D34*'Beer Revenue'!BH111</f>
        <v>59.514456512332622</v>
      </c>
      <c r="BH34" s="309">
        <f>$D34*'Beer Revenue'!BI111</f>
        <v>43.195976500886573</v>
      </c>
      <c r="BI34" s="309">
        <f>$D34*'Beer Revenue'!BJ111</f>
        <v>39.676304341555081</v>
      </c>
      <c r="BJ34" s="312">
        <f t="shared" si="7"/>
        <v>585.10550021432391</v>
      </c>
      <c r="BK34" s="309">
        <f>$E34*'Beer Revenue'!BL111</f>
        <v>31.869991462354125</v>
      </c>
      <c r="BL34" s="309">
        <f>$E34*'Beer Revenue'!BM111</f>
        <v>33.883283933766272</v>
      </c>
      <c r="BM34" s="309">
        <f>$E34*'Beer Revenue'!BN111</f>
        <v>47.804987193531183</v>
      </c>
      <c r="BN34" s="309">
        <f>$E34*'Beer Revenue'!BO111</f>
        <v>56.543533239660526</v>
      </c>
      <c r="BO34" s="309">
        <f>$E34*'Beer Revenue'!BP111</f>
        <v>63.739982924708251</v>
      </c>
      <c r="BP34" s="309">
        <f>$E34*'Beer Revenue'!BQ111</f>
        <v>56.543533239660526</v>
      </c>
      <c r="BQ34" s="309">
        <f>$E34*'Beer Revenue'!BR111</f>
        <v>53.116652437256867</v>
      </c>
      <c r="BR34" s="309">
        <f>$E34*'Beer Revenue'!BS111</f>
        <v>66.3958155465711</v>
      </c>
      <c r="BS34" s="309">
        <f>$E34*'Beer Revenue'!BT111</f>
        <v>64.254015045068783</v>
      </c>
      <c r="BT34" s="309">
        <f>$E34*'Beer Revenue'!BU111</f>
        <v>63.739982924708251</v>
      </c>
      <c r="BU34" s="309">
        <f>$E34*'Beer Revenue'!BV111</f>
        <v>46.262890832449528</v>
      </c>
      <c r="BV34" s="309">
        <f>$E34*'Beer Revenue'!BW111</f>
        <v>42.493321949805491</v>
      </c>
      <c r="BW34" s="312">
        <f t="shared" si="8"/>
        <v>626.64799072954088</v>
      </c>
      <c r="BX34" s="312">
        <f t="shared" si="9"/>
        <v>2660.0850846723411</v>
      </c>
    </row>
    <row r="35" spans="1:76" ht="14.5">
      <c r="A35" s="59">
        <f>A19+'4pk costs'!$B$10</f>
        <v>402.87111111111011</v>
      </c>
      <c r="B35" s="59">
        <f>A35*(1+Assumptions!$D$75)</f>
        <v>410.92853333333233</v>
      </c>
      <c r="C35" s="59">
        <f>B35*(1+Assumptions!$E$75)</f>
        <v>419.14710399999899</v>
      </c>
      <c r="D35" s="59">
        <f>C35*(1+Assumptions!$F$75)</f>
        <v>427.53004607999895</v>
      </c>
      <c r="E35" s="59">
        <f>D35*(1+Assumptions!$G$75)</f>
        <v>436.08064700159895</v>
      </c>
      <c r="F35" s="2" t="str">
        <f t="shared" si="13"/>
        <v>Special release</v>
      </c>
      <c r="G35" s="2"/>
      <c r="H35" s="2"/>
      <c r="I35" s="2"/>
      <c r="J35" s="2"/>
      <c r="K35" s="309">
        <f>$A35*'Beer Revenue'!L112</f>
        <v>0</v>
      </c>
      <c r="L35" s="309">
        <f>$A35*'Beer Revenue'!M112</f>
        <v>0</v>
      </c>
      <c r="M35" s="309">
        <f>$A35*'Beer Revenue'!N112</f>
        <v>0</v>
      </c>
      <c r="N35" s="309">
        <f>$A35*'Beer Revenue'!O112</f>
        <v>0</v>
      </c>
      <c r="O35" s="309">
        <f>$A35*'Beer Revenue'!P112</f>
        <v>0</v>
      </c>
      <c r="P35" s="309">
        <f>$A35*'Beer Revenue'!Q112</f>
        <v>0</v>
      </c>
      <c r="Q35" s="309">
        <f>$A35*'Beer Revenue'!R112</f>
        <v>0</v>
      </c>
      <c r="R35" s="309">
        <f>$A35*'Beer Revenue'!S112</f>
        <v>0</v>
      </c>
      <c r="S35" s="309">
        <f>$A35*'Beer Revenue'!T112</f>
        <v>0</v>
      </c>
      <c r="T35" s="309">
        <f>$A35*'Beer Revenue'!U112</f>
        <v>0</v>
      </c>
      <c r="U35" s="309">
        <f>$A35*'Beer Revenue'!V112</f>
        <v>0</v>
      </c>
      <c r="V35" s="309">
        <f>$A35*'Beer Revenue'!W112</f>
        <v>0</v>
      </c>
      <c r="W35" s="312">
        <f t="shared" si="4"/>
        <v>0</v>
      </c>
      <c r="X35" s="317">
        <f>$B35*'Beer Revenue'!Y112</f>
        <v>0</v>
      </c>
      <c r="Y35" s="309">
        <f>$B35*'Beer Revenue'!Z112</f>
        <v>0</v>
      </c>
      <c r="Z35" s="309">
        <f>$B35*'Beer Revenue'!AA112</f>
        <v>0</v>
      </c>
      <c r="AA35" s="309">
        <f>$B35*'Beer Revenue'!AB112</f>
        <v>0</v>
      </c>
      <c r="AB35" s="309">
        <f>$B35*'Beer Revenue'!AC112</f>
        <v>0</v>
      </c>
      <c r="AC35" s="309">
        <f>$B35*'Beer Revenue'!AD112</f>
        <v>0</v>
      </c>
      <c r="AD35" s="309">
        <f>$B35*'Beer Revenue'!AE112</f>
        <v>0</v>
      </c>
      <c r="AE35" s="309">
        <f>$B35*'Beer Revenue'!AF112</f>
        <v>0</v>
      </c>
      <c r="AF35" s="309">
        <f>$B35*'Beer Revenue'!AG112</f>
        <v>0</v>
      </c>
      <c r="AG35" s="309">
        <f>$B35*'Beer Revenue'!AH112</f>
        <v>0</v>
      </c>
      <c r="AH35" s="309">
        <f>$B35*'Beer Revenue'!AI112</f>
        <v>0</v>
      </c>
      <c r="AI35" s="309">
        <f>$B35*'Beer Revenue'!AJ112</f>
        <v>0</v>
      </c>
      <c r="AJ35" s="312">
        <f t="shared" si="14"/>
        <v>0</v>
      </c>
      <c r="AK35" s="309">
        <f>$C35*'Beer Revenue'!AL112</f>
        <v>0</v>
      </c>
      <c r="AL35" s="309">
        <f>$C35*'Beer Revenue'!AM112</f>
        <v>0</v>
      </c>
      <c r="AM35" s="309">
        <f>$C35*'Beer Revenue'!AN112</f>
        <v>0</v>
      </c>
      <c r="AN35" s="309">
        <f>$C35*'Beer Revenue'!AO112</f>
        <v>0</v>
      </c>
      <c r="AO35" s="309">
        <f>$C35*'Beer Revenue'!AP112</f>
        <v>0</v>
      </c>
      <c r="AP35" s="309">
        <f>$C35*'Beer Revenue'!AQ112</f>
        <v>0</v>
      </c>
      <c r="AQ35" s="309">
        <f>$C35*'Beer Revenue'!AR112</f>
        <v>0</v>
      </c>
      <c r="AR35" s="309">
        <f>$C35*'Beer Revenue'!AS112</f>
        <v>0</v>
      </c>
      <c r="AS35" s="309">
        <f>$C35*'Beer Revenue'!AT112</f>
        <v>0</v>
      </c>
      <c r="AT35" s="309">
        <f>$C35*'Beer Revenue'!AU112</f>
        <v>0</v>
      </c>
      <c r="AU35" s="309">
        <f>$C35*'Beer Revenue'!AV112</f>
        <v>0</v>
      </c>
      <c r="AV35" s="309">
        <f>$C35*'Beer Revenue'!AW112</f>
        <v>0</v>
      </c>
      <c r="AW35" s="312">
        <f t="shared" si="15"/>
        <v>0</v>
      </c>
      <c r="AX35" s="309">
        <f>$D35*'Beer Revenue'!AY112</f>
        <v>0</v>
      </c>
      <c r="AY35" s="309">
        <f>$D35*'Beer Revenue'!AZ112</f>
        <v>0</v>
      </c>
      <c r="AZ35" s="309">
        <f>$D35*'Beer Revenue'!BA112</f>
        <v>0</v>
      </c>
      <c r="BA35" s="309">
        <f>$D35*'Beer Revenue'!BB112</f>
        <v>0</v>
      </c>
      <c r="BB35" s="309">
        <f>$D35*'Beer Revenue'!BC112</f>
        <v>0</v>
      </c>
      <c r="BC35" s="309">
        <f>$D35*'Beer Revenue'!BD112</f>
        <v>0</v>
      </c>
      <c r="BD35" s="309">
        <f>$D35*'Beer Revenue'!BE112</f>
        <v>0</v>
      </c>
      <c r="BE35" s="309">
        <f>$D35*'Beer Revenue'!BF112</f>
        <v>0</v>
      </c>
      <c r="BF35" s="309">
        <f>$D35*'Beer Revenue'!BG112</f>
        <v>0</v>
      </c>
      <c r="BG35" s="309">
        <f>$D35*'Beer Revenue'!BH112</f>
        <v>0</v>
      </c>
      <c r="BH35" s="309">
        <f>$D35*'Beer Revenue'!BI112</f>
        <v>0</v>
      </c>
      <c r="BI35" s="309">
        <f>$D35*'Beer Revenue'!BJ112</f>
        <v>0</v>
      </c>
      <c r="BJ35" s="312">
        <f t="shared" si="7"/>
        <v>0</v>
      </c>
      <c r="BK35" s="309">
        <f>$E35*'Beer Revenue'!BL112</f>
        <v>0</v>
      </c>
      <c r="BL35" s="309">
        <f>$E35*'Beer Revenue'!BM112</f>
        <v>0</v>
      </c>
      <c r="BM35" s="309">
        <f>$E35*'Beer Revenue'!BN112</f>
        <v>0</v>
      </c>
      <c r="BN35" s="309">
        <f>$E35*'Beer Revenue'!BO112</f>
        <v>0</v>
      </c>
      <c r="BO35" s="309">
        <f>$E35*'Beer Revenue'!BP112</f>
        <v>0</v>
      </c>
      <c r="BP35" s="309">
        <f>$E35*'Beer Revenue'!BQ112</f>
        <v>0</v>
      </c>
      <c r="BQ35" s="309">
        <f>$E35*'Beer Revenue'!BR112</f>
        <v>0</v>
      </c>
      <c r="BR35" s="309">
        <f>$E35*'Beer Revenue'!BS112</f>
        <v>0</v>
      </c>
      <c r="BS35" s="309">
        <f>$E35*'Beer Revenue'!BT112</f>
        <v>0</v>
      </c>
      <c r="BT35" s="309">
        <f>$E35*'Beer Revenue'!BU112</f>
        <v>0</v>
      </c>
      <c r="BU35" s="309">
        <f>$E35*'Beer Revenue'!BV112</f>
        <v>0</v>
      </c>
      <c r="BV35" s="309">
        <f>$E35*'Beer Revenue'!BW112</f>
        <v>0</v>
      </c>
      <c r="BW35" s="312">
        <f t="shared" si="8"/>
        <v>0</v>
      </c>
      <c r="BX35" s="312">
        <f t="shared" si="9"/>
        <v>0</v>
      </c>
    </row>
    <row r="36" spans="1:76" ht="14.5">
      <c r="A36" s="59"/>
      <c r="B36" s="59">
        <f>A36*(1+Assumptions!$D$75)</f>
        <v>0</v>
      </c>
      <c r="C36" s="59">
        <f>B36*(1+Assumptions!$E$75)</f>
        <v>0</v>
      </c>
      <c r="D36" s="59">
        <f>C36*(1+Assumptions!$F$75)</f>
        <v>0</v>
      </c>
      <c r="E36" s="59">
        <f>D36*(1+Assumptions!$G$75)</f>
        <v>0</v>
      </c>
      <c r="F36" s="2">
        <f t="shared" si="13"/>
        <v>0</v>
      </c>
      <c r="G36" s="2"/>
      <c r="H36" s="2"/>
      <c r="I36" s="2"/>
      <c r="J36" s="2"/>
      <c r="K36" s="310">
        <f>$A36*'Beer Revenue'!L113</f>
        <v>0</v>
      </c>
      <c r="L36" s="310">
        <f>$A36*'Beer Revenue'!M113</f>
        <v>0</v>
      </c>
      <c r="M36" s="310">
        <f>$A36*'Beer Revenue'!N113</f>
        <v>0</v>
      </c>
      <c r="N36" s="310">
        <f>$A36*'Beer Revenue'!O113</f>
        <v>0</v>
      </c>
      <c r="O36" s="310">
        <f>$A36*'Beer Revenue'!P113</f>
        <v>0</v>
      </c>
      <c r="P36" s="310">
        <f>$A36*'Beer Revenue'!Q113</f>
        <v>0</v>
      </c>
      <c r="Q36" s="310">
        <f>$A36*'Beer Revenue'!R113</f>
        <v>0</v>
      </c>
      <c r="R36" s="310">
        <f>$A36*'Beer Revenue'!S113</f>
        <v>0</v>
      </c>
      <c r="S36" s="310">
        <f>$A36*'Beer Revenue'!T113</f>
        <v>0</v>
      </c>
      <c r="T36" s="310">
        <f>$A36*'Beer Revenue'!U113</f>
        <v>0</v>
      </c>
      <c r="U36" s="310">
        <f>$A36*'Beer Revenue'!V113</f>
        <v>0</v>
      </c>
      <c r="V36" s="310">
        <f>$A36*'Beer Revenue'!W113</f>
        <v>0</v>
      </c>
      <c r="W36" s="308">
        <f t="shared" si="4"/>
        <v>0</v>
      </c>
      <c r="X36" s="318">
        <f>$B36*'Beer Revenue'!Y113</f>
        <v>0</v>
      </c>
      <c r="Y36" s="310">
        <f>$B36*'Beer Revenue'!Z113</f>
        <v>0</v>
      </c>
      <c r="Z36" s="310">
        <f>$B36*'Beer Revenue'!AA113</f>
        <v>0</v>
      </c>
      <c r="AA36" s="310">
        <f>$B36*'Beer Revenue'!AB113</f>
        <v>0</v>
      </c>
      <c r="AB36" s="310">
        <f>$B36*'Beer Revenue'!AC113</f>
        <v>0</v>
      </c>
      <c r="AC36" s="310">
        <f>$B36*'Beer Revenue'!AD113</f>
        <v>0</v>
      </c>
      <c r="AD36" s="310">
        <f>$B36*'Beer Revenue'!AE113</f>
        <v>0</v>
      </c>
      <c r="AE36" s="310">
        <f>$B36*'Beer Revenue'!AF113</f>
        <v>0</v>
      </c>
      <c r="AF36" s="310">
        <f>$B36*'Beer Revenue'!AG113</f>
        <v>0</v>
      </c>
      <c r="AG36" s="310">
        <f>$B36*'Beer Revenue'!AH113</f>
        <v>0</v>
      </c>
      <c r="AH36" s="310">
        <f>$B36*'Beer Revenue'!AI113</f>
        <v>0</v>
      </c>
      <c r="AI36" s="310">
        <f>$B36*'Beer Revenue'!AJ113</f>
        <v>0</v>
      </c>
      <c r="AJ36" s="308">
        <f t="shared" si="14"/>
        <v>0</v>
      </c>
      <c r="AK36" s="309">
        <f>$C36*'Beer Revenue'!AL113</f>
        <v>0</v>
      </c>
      <c r="AL36" s="309">
        <f>$C36*'Beer Revenue'!AM113</f>
        <v>0</v>
      </c>
      <c r="AM36" s="309">
        <f>$C36*'Beer Revenue'!AN113</f>
        <v>0</v>
      </c>
      <c r="AN36" s="309">
        <f>$C36*'Beer Revenue'!AO113</f>
        <v>0</v>
      </c>
      <c r="AO36" s="309">
        <f>$C36*'Beer Revenue'!AP113</f>
        <v>0</v>
      </c>
      <c r="AP36" s="309">
        <f>$C36*'Beer Revenue'!AQ113</f>
        <v>0</v>
      </c>
      <c r="AQ36" s="309">
        <f>$C36*'Beer Revenue'!AR113</f>
        <v>0</v>
      </c>
      <c r="AR36" s="309">
        <f>$C36*'Beer Revenue'!AS113</f>
        <v>0</v>
      </c>
      <c r="AS36" s="309">
        <f>$C36*'Beer Revenue'!AT113</f>
        <v>0</v>
      </c>
      <c r="AT36" s="309">
        <f>$C36*'Beer Revenue'!AU113</f>
        <v>0</v>
      </c>
      <c r="AU36" s="309">
        <f>$C36*'Beer Revenue'!AV113</f>
        <v>0</v>
      </c>
      <c r="AV36" s="309">
        <f>$C36*'Beer Revenue'!AW113</f>
        <v>0</v>
      </c>
      <c r="AW36" s="308">
        <f t="shared" si="15"/>
        <v>0</v>
      </c>
      <c r="AX36" s="309">
        <f>$D36*'Beer Revenue'!AY113</f>
        <v>0</v>
      </c>
      <c r="AY36" s="309">
        <f>$D36*'Beer Revenue'!AZ113</f>
        <v>0</v>
      </c>
      <c r="AZ36" s="309">
        <f>$D36*'Beer Revenue'!BA113</f>
        <v>0</v>
      </c>
      <c r="BA36" s="309">
        <f>$D36*'Beer Revenue'!BB113</f>
        <v>0</v>
      </c>
      <c r="BB36" s="309">
        <f>$D36*'Beer Revenue'!BC113</f>
        <v>0</v>
      </c>
      <c r="BC36" s="309">
        <f>$D36*'Beer Revenue'!BD113</f>
        <v>0</v>
      </c>
      <c r="BD36" s="309">
        <f>$D36*'Beer Revenue'!BE113</f>
        <v>0</v>
      </c>
      <c r="BE36" s="309">
        <f>$D36*'Beer Revenue'!BF113</f>
        <v>0</v>
      </c>
      <c r="BF36" s="309">
        <f>$D36*'Beer Revenue'!BG113</f>
        <v>0</v>
      </c>
      <c r="BG36" s="309">
        <f>$D36*'Beer Revenue'!BH113</f>
        <v>0</v>
      </c>
      <c r="BH36" s="309">
        <f>$D36*'Beer Revenue'!BI113</f>
        <v>0</v>
      </c>
      <c r="BI36" s="309">
        <f>$D36*'Beer Revenue'!BJ113</f>
        <v>0</v>
      </c>
      <c r="BJ36" s="308">
        <f t="shared" si="7"/>
        <v>0</v>
      </c>
      <c r="BK36" s="309">
        <f>$E36*'Beer Revenue'!BL113</f>
        <v>0</v>
      </c>
      <c r="BL36" s="309">
        <f>$E36*'Beer Revenue'!BM113</f>
        <v>0</v>
      </c>
      <c r="BM36" s="309">
        <f>$E36*'Beer Revenue'!BN113</f>
        <v>0</v>
      </c>
      <c r="BN36" s="309">
        <f>$E36*'Beer Revenue'!BO113</f>
        <v>0</v>
      </c>
      <c r="BO36" s="309">
        <f>$E36*'Beer Revenue'!BP113</f>
        <v>0</v>
      </c>
      <c r="BP36" s="309">
        <f>$E36*'Beer Revenue'!BQ113</f>
        <v>0</v>
      </c>
      <c r="BQ36" s="309">
        <f>$E36*'Beer Revenue'!BR113</f>
        <v>0</v>
      </c>
      <c r="BR36" s="309">
        <f>$E36*'Beer Revenue'!BS113</f>
        <v>0</v>
      </c>
      <c r="BS36" s="309">
        <f>$E36*'Beer Revenue'!BT113</f>
        <v>0</v>
      </c>
      <c r="BT36" s="309">
        <f>$E36*'Beer Revenue'!BU113</f>
        <v>0</v>
      </c>
      <c r="BU36" s="309">
        <f>$E36*'Beer Revenue'!BV113</f>
        <v>0</v>
      </c>
      <c r="BV36" s="309">
        <f>$E36*'Beer Revenue'!BW113</f>
        <v>0</v>
      </c>
      <c r="BW36" s="308">
        <f>SUM(BK36:BV36)</f>
        <v>0</v>
      </c>
      <c r="BX36" s="308">
        <f t="shared" si="9"/>
        <v>0</v>
      </c>
    </row>
    <row r="37" spans="1:76" ht="15.75" customHeight="1">
      <c r="A37" s="59"/>
      <c r="B37" s="59">
        <f>A37*(1+Assumptions!$D$75)</f>
        <v>0</v>
      </c>
      <c r="C37" s="59">
        <f>B37*(1+Assumptions!$E$75)</f>
        <v>0</v>
      </c>
      <c r="D37" s="59">
        <f>C37*(1+Assumptions!$F$75)</f>
        <v>0</v>
      </c>
      <c r="E37" s="59">
        <f>D37*(1+Assumptions!$G$75)</f>
        <v>0</v>
      </c>
      <c r="F37" s="2">
        <f t="shared" si="13"/>
        <v>0</v>
      </c>
      <c r="G37" s="2"/>
      <c r="H37" s="2"/>
      <c r="I37" s="2"/>
      <c r="J37" s="2"/>
      <c r="K37" s="310">
        <f>$A37*'Beer Revenue'!L114</f>
        <v>0</v>
      </c>
      <c r="L37" s="310">
        <f>$A37*'Beer Revenue'!M114</f>
        <v>0</v>
      </c>
      <c r="M37" s="310">
        <f>$A37*'Beer Revenue'!N114</f>
        <v>0</v>
      </c>
      <c r="N37" s="310">
        <f>$A37*'Beer Revenue'!O114</f>
        <v>0</v>
      </c>
      <c r="O37" s="310">
        <f>$A37*'Beer Revenue'!P114</f>
        <v>0</v>
      </c>
      <c r="P37" s="310">
        <f>$A37*'Beer Revenue'!Q114</f>
        <v>0</v>
      </c>
      <c r="Q37" s="310">
        <f>$A37*'Beer Revenue'!R114</f>
        <v>0</v>
      </c>
      <c r="R37" s="310">
        <f>$A37*'Beer Revenue'!S114</f>
        <v>0</v>
      </c>
      <c r="S37" s="310">
        <f>$A37*'Beer Revenue'!T114</f>
        <v>0</v>
      </c>
      <c r="T37" s="310">
        <f>$A37*'Beer Revenue'!U114</f>
        <v>0</v>
      </c>
      <c r="U37" s="310">
        <f>$A37*'Beer Revenue'!V114</f>
        <v>0</v>
      </c>
      <c r="V37" s="310">
        <f>$A37*'Beer Revenue'!W114</f>
        <v>0</v>
      </c>
      <c r="W37" s="308">
        <f t="shared" si="4"/>
        <v>0</v>
      </c>
      <c r="X37" s="318">
        <f>$B37*'Beer Revenue'!Y114</f>
        <v>0</v>
      </c>
      <c r="Y37" s="310">
        <f>$B37*'Beer Revenue'!Z114</f>
        <v>0</v>
      </c>
      <c r="Z37" s="310">
        <f>$B37*'Beer Revenue'!AA114</f>
        <v>0</v>
      </c>
      <c r="AA37" s="310">
        <f>$B37*'Beer Revenue'!AB114</f>
        <v>0</v>
      </c>
      <c r="AB37" s="310">
        <f>$B37*'Beer Revenue'!AC114</f>
        <v>0</v>
      </c>
      <c r="AC37" s="310">
        <f>$B37*'Beer Revenue'!AD114</f>
        <v>0</v>
      </c>
      <c r="AD37" s="310">
        <f>$B37*'Beer Revenue'!AE114</f>
        <v>0</v>
      </c>
      <c r="AE37" s="310">
        <f>$B37*'Beer Revenue'!AF114</f>
        <v>0</v>
      </c>
      <c r="AF37" s="310">
        <f>$B37*'Beer Revenue'!AG114</f>
        <v>0</v>
      </c>
      <c r="AG37" s="310">
        <f>$B37*'Beer Revenue'!AH114</f>
        <v>0</v>
      </c>
      <c r="AH37" s="310">
        <f>$B37*'Beer Revenue'!AI114</f>
        <v>0</v>
      </c>
      <c r="AI37" s="310">
        <f>$B37*'Beer Revenue'!AJ114</f>
        <v>0</v>
      </c>
      <c r="AJ37" s="308">
        <f t="shared" si="14"/>
        <v>0</v>
      </c>
      <c r="AK37" s="309">
        <f>$C37*'Beer Revenue'!AL114</f>
        <v>0</v>
      </c>
      <c r="AL37" s="309">
        <f>$C37*'Beer Revenue'!AM114</f>
        <v>0</v>
      </c>
      <c r="AM37" s="309">
        <f>$C37*'Beer Revenue'!AN114</f>
        <v>0</v>
      </c>
      <c r="AN37" s="309">
        <f>$C37*'Beer Revenue'!AO114</f>
        <v>0</v>
      </c>
      <c r="AO37" s="309">
        <f>$C37*'Beer Revenue'!AP114</f>
        <v>0</v>
      </c>
      <c r="AP37" s="309">
        <f>$C37*'Beer Revenue'!AQ114</f>
        <v>0</v>
      </c>
      <c r="AQ37" s="309">
        <f>$C37*'Beer Revenue'!AR114</f>
        <v>0</v>
      </c>
      <c r="AR37" s="309">
        <f>$C37*'Beer Revenue'!AS114</f>
        <v>0</v>
      </c>
      <c r="AS37" s="309">
        <f>$C37*'Beer Revenue'!AT114</f>
        <v>0</v>
      </c>
      <c r="AT37" s="309">
        <f>$C37*'Beer Revenue'!AU114</f>
        <v>0</v>
      </c>
      <c r="AU37" s="309">
        <f>$C37*'Beer Revenue'!AV114</f>
        <v>0</v>
      </c>
      <c r="AV37" s="309">
        <f>$C37*'Beer Revenue'!AW114</f>
        <v>0</v>
      </c>
      <c r="AW37" s="308">
        <f t="shared" si="15"/>
        <v>0</v>
      </c>
      <c r="AX37" s="309">
        <f>$D37*'Beer Revenue'!AY114</f>
        <v>0</v>
      </c>
      <c r="AY37" s="309">
        <f>$D37*'Beer Revenue'!AZ114</f>
        <v>0</v>
      </c>
      <c r="AZ37" s="309">
        <f>$D37*'Beer Revenue'!BA114</f>
        <v>0</v>
      </c>
      <c r="BA37" s="309">
        <f>$D37*'Beer Revenue'!BB114</f>
        <v>0</v>
      </c>
      <c r="BB37" s="309">
        <f>$D37*'Beer Revenue'!BC114</f>
        <v>0</v>
      </c>
      <c r="BC37" s="309">
        <f>$D37*'Beer Revenue'!BD114</f>
        <v>0</v>
      </c>
      <c r="BD37" s="309">
        <f>$D37*'Beer Revenue'!BE114</f>
        <v>0</v>
      </c>
      <c r="BE37" s="309">
        <f>$D37*'Beer Revenue'!BF114</f>
        <v>0</v>
      </c>
      <c r="BF37" s="309">
        <f>$D37*'Beer Revenue'!BG114</f>
        <v>0</v>
      </c>
      <c r="BG37" s="309">
        <f>$D37*'Beer Revenue'!BH114</f>
        <v>0</v>
      </c>
      <c r="BH37" s="309">
        <f>$D37*'Beer Revenue'!BI114</f>
        <v>0</v>
      </c>
      <c r="BI37" s="309">
        <f>$D37*'Beer Revenue'!BJ114</f>
        <v>0</v>
      </c>
      <c r="BJ37" s="308">
        <f t="shared" si="7"/>
        <v>0</v>
      </c>
      <c r="BK37" s="309">
        <f>$E37*'Beer Revenue'!BL114</f>
        <v>0</v>
      </c>
      <c r="BL37" s="309">
        <f>$E37*'Beer Revenue'!BM114</f>
        <v>0</v>
      </c>
      <c r="BM37" s="309">
        <f>$E37*'Beer Revenue'!BN114</f>
        <v>0</v>
      </c>
      <c r="BN37" s="309">
        <f>$E37*'Beer Revenue'!BO114</f>
        <v>0</v>
      </c>
      <c r="BO37" s="309">
        <f>$E37*'Beer Revenue'!BP114</f>
        <v>0</v>
      </c>
      <c r="BP37" s="309">
        <f>$E37*'Beer Revenue'!BQ114</f>
        <v>0</v>
      </c>
      <c r="BQ37" s="309">
        <f>$E37*'Beer Revenue'!BR114</f>
        <v>0</v>
      </c>
      <c r="BR37" s="309">
        <f>$E37*'Beer Revenue'!BS114</f>
        <v>0</v>
      </c>
      <c r="BS37" s="309">
        <f>$E37*'Beer Revenue'!BT114</f>
        <v>0</v>
      </c>
      <c r="BT37" s="309">
        <f>$E37*'Beer Revenue'!BU114</f>
        <v>0</v>
      </c>
      <c r="BU37" s="309">
        <f>$E37*'Beer Revenue'!BV114</f>
        <v>0</v>
      </c>
      <c r="BV37" s="309">
        <f>$E37*'Beer Revenue'!BW114</f>
        <v>0</v>
      </c>
      <c r="BW37" s="308">
        <f>SUM(BK37:BV37)</f>
        <v>0</v>
      </c>
      <c r="BX37" s="308">
        <f t="shared" si="9"/>
        <v>0</v>
      </c>
    </row>
    <row r="38" spans="1:76" ht="15.75" customHeight="1">
      <c r="A38" s="59"/>
      <c r="B38" s="59">
        <f>A38*(1+Assumptions!$D$75)</f>
        <v>0</v>
      </c>
      <c r="C38" s="59">
        <f>B38*(1+Assumptions!$E$75)</f>
        <v>0</v>
      </c>
      <c r="D38" s="59">
        <f>C38*(1+Assumptions!$F$75)</f>
        <v>0</v>
      </c>
      <c r="E38" s="59">
        <f>D38*(1+Assumptions!$G$75)</f>
        <v>0</v>
      </c>
      <c r="F38" s="2">
        <f t="shared" si="13"/>
        <v>0</v>
      </c>
      <c r="G38" s="2"/>
      <c r="H38" s="2"/>
      <c r="I38" s="2"/>
      <c r="J38" s="2"/>
      <c r="K38" s="310">
        <f>$A38*'Beer Revenue'!L115</f>
        <v>0</v>
      </c>
      <c r="L38" s="310">
        <f>$A38*'Beer Revenue'!M115</f>
        <v>0</v>
      </c>
      <c r="M38" s="310">
        <f>$A38*'Beer Revenue'!N115</f>
        <v>0</v>
      </c>
      <c r="N38" s="310">
        <f>$A38*'Beer Revenue'!O115</f>
        <v>0</v>
      </c>
      <c r="O38" s="310">
        <f>$A38*'Beer Revenue'!P115</f>
        <v>0</v>
      </c>
      <c r="P38" s="310">
        <f>$A38*'Beer Revenue'!Q115</f>
        <v>0</v>
      </c>
      <c r="Q38" s="310">
        <f>$A38*'Beer Revenue'!R115</f>
        <v>0</v>
      </c>
      <c r="R38" s="310">
        <f>$A38*'Beer Revenue'!S115</f>
        <v>0</v>
      </c>
      <c r="S38" s="310">
        <f>$A38*'Beer Revenue'!T115</f>
        <v>0</v>
      </c>
      <c r="T38" s="310">
        <f>$A38*'Beer Revenue'!U115</f>
        <v>0</v>
      </c>
      <c r="U38" s="310">
        <f>$A38*'Beer Revenue'!V115</f>
        <v>0</v>
      </c>
      <c r="V38" s="310">
        <f>$A38*'Beer Revenue'!W115</f>
        <v>0</v>
      </c>
      <c r="W38" s="308">
        <f t="shared" si="4"/>
        <v>0</v>
      </c>
      <c r="X38" s="318">
        <f>$B38*'Beer Revenue'!Y115</f>
        <v>0</v>
      </c>
      <c r="Y38" s="310">
        <f>$B38*'Beer Revenue'!Z115</f>
        <v>0</v>
      </c>
      <c r="Z38" s="310">
        <f>$B38*'Beer Revenue'!AA115</f>
        <v>0</v>
      </c>
      <c r="AA38" s="310">
        <f>$B38*'Beer Revenue'!AB115</f>
        <v>0</v>
      </c>
      <c r="AB38" s="310">
        <f>$B38*'Beer Revenue'!AC115</f>
        <v>0</v>
      </c>
      <c r="AC38" s="310">
        <f>$B38*'Beer Revenue'!AD115</f>
        <v>0</v>
      </c>
      <c r="AD38" s="310">
        <f>$B38*'Beer Revenue'!AE115</f>
        <v>0</v>
      </c>
      <c r="AE38" s="310">
        <f>$B38*'Beer Revenue'!AF115</f>
        <v>0</v>
      </c>
      <c r="AF38" s="310">
        <f>$B38*'Beer Revenue'!AG115</f>
        <v>0</v>
      </c>
      <c r="AG38" s="310">
        <f>$B38*'Beer Revenue'!AH115</f>
        <v>0</v>
      </c>
      <c r="AH38" s="310">
        <f>$B38*'Beer Revenue'!AI115</f>
        <v>0</v>
      </c>
      <c r="AI38" s="310">
        <f>$B38*'Beer Revenue'!AJ115</f>
        <v>0</v>
      </c>
      <c r="AJ38" s="308">
        <f t="shared" si="14"/>
        <v>0</v>
      </c>
      <c r="AK38" s="309">
        <f>$C38*'Beer Revenue'!AL115</f>
        <v>0</v>
      </c>
      <c r="AL38" s="309">
        <f>$C38*'Beer Revenue'!AM115</f>
        <v>0</v>
      </c>
      <c r="AM38" s="309">
        <f>$C38*'Beer Revenue'!AN115</f>
        <v>0</v>
      </c>
      <c r="AN38" s="309">
        <f>$C38*'Beer Revenue'!AO115</f>
        <v>0</v>
      </c>
      <c r="AO38" s="309">
        <f>$C38*'Beer Revenue'!AP115</f>
        <v>0</v>
      </c>
      <c r="AP38" s="309">
        <f>$C38*'Beer Revenue'!AQ115</f>
        <v>0</v>
      </c>
      <c r="AQ38" s="309">
        <f>$C38*'Beer Revenue'!AR115</f>
        <v>0</v>
      </c>
      <c r="AR38" s="309">
        <f>$C38*'Beer Revenue'!AS115</f>
        <v>0</v>
      </c>
      <c r="AS38" s="309">
        <f>$C38*'Beer Revenue'!AT115</f>
        <v>0</v>
      </c>
      <c r="AT38" s="309">
        <f>$C38*'Beer Revenue'!AU115</f>
        <v>0</v>
      </c>
      <c r="AU38" s="309">
        <f>$C38*'Beer Revenue'!AV115</f>
        <v>0</v>
      </c>
      <c r="AV38" s="309">
        <f>$C38*'Beer Revenue'!AW115</f>
        <v>0</v>
      </c>
      <c r="AW38" s="308">
        <f t="shared" si="15"/>
        <v>0</v>
      </c>
      <c r="AX38" s="309">
        <f>$D38*'Beer Revenue'!AY115</f>
        <v>0</v>
      </c>
      <c r="AY38" s="309">
        <f>$D38*'Beer Revenue'!AZ115</f>
        <v>0</v>
      </c>
      <c r="AZ38" s="309">
        <f>$D38*'Beer Revenue'!BA115</f>
        <v>0</v>
      </c>
      <c r="BA38" s="309">
        <f>$D38*'Beer Revenue'!BB115</f>
        <v>0</v>
      </c>
      <c r="BB38" s="309">
        <f>$D38*'Beer Revenue'!BC115</f>
        <v>0</v>
      </c>
      <c r="BC38" s="309">
        <f>$D38*'Beer Revenue'!BD115</f>
        <v>0</v>
      </c>
      <c r="BD38" s="309">
        <f>$D38*'Beer Revenue'!BE115</f>
        <v>0</v>
      </c>
      <c r="BE38" s="309">
        <f>$D38*'Beer Revenue'!BF115</f>
        <v>0</v>
      </c>
      <c r="BF38" s="309">
        <f>$D38*'Beer Revenue'!BG115</f>
        <v>0</v>
      </c>
      <c r="BG38" s="309">
        <f>$D38*'Beer Revenue'!BH115</f>
        <v>0</v>
      </c>
      <c r="BH38" s="309">
        <f>$D38*'Beer Revenue'!BI115</f>
        <v>0</v>
      </c>
      <c r="BI38" s="309">
        <f>$D38*'Beer Revenue'!BJ115</f>
        <v>0</v>
      </c>
      <c r="BJ38" s="308">
        <f t="shared" si="7"/>
        <v>0</v>
      </c>
      <c r="BK38" s="309">
        <f>$E38*'Beer Revenue'!BL115</f>
        <v>0</v>
      </c>
      <c r="BL38" s="309">
        <f>$E38*'Beer Revenue'!BM115</f>
        <v>0</v>
      </c>
      <c r="BM38" s="309">
        <f>$E38*'Beer Revenue'!BN115</f>
        <v>0</v>
      </c>
      <c r="BN38" s="309">
        <f>$E38*'Beer Revenue'!BO115</f>
        <v>0</v>
      </c>
      <c r="BO38" s="309">
        <f>$E38*'Beer Revenue'!BP115</f>
        <v>0</v>
      </c>
      <c r="BP38" s="309">
        <f>$E38*'Beer Revenue'!BQ115</f>
        <v>0</v>
      </c>
      <c r="BQ38" s="309">
        <f>$E38*'Beer Revenue'!BR115</f>
        <v>0</v>
      </c>
      <c r="BR38" s="309">
        <f>$E38*'Beer Revenue'!BS115</f>
        <v>0</v>
      </c>
      <c r="BS38" s="309">
        <f>$E38*'Beer Revenue'!BT115</f>
        <v>0</v>
      </c>
      <c r="BT38" s="309">
        <f>$E38*'Beer Revenue'!BU115</f>
        <v>0</v>
      </c>
      <c r="BU38" s="309">
        <f>$E38*'Beer Revenue'!BV115</f>
        <v>0</v>
      </c>
      <c r="BV38" s="309">
        <f>$E38*'Beer Revenue'!BW115</f>
        <v>0</v>
      </c>
      <c r="BW38" s="308">
        <f>SUM(BK38:BV38)</f>
        <v>0</v>
      </c>
      <c r="BX38" s="308">
        <f t="shared" si="9"/>
        <v>0</v>
      </c>
    </row>
    <row r="39" spans="1:76" ht="15.75" customHeight="1">
      <c r="A39" s="59"/>
      <c r="B39" s="59"/>
      <c r="C39" s="59"/>
      <c r="D39" s="59"/>
      <c r="E39" s="59"/>
      <c r="F39" s="2"/>
      <c r="G39" s="2"/>
      <c r="H39" s="2"/>
      <c r="I39" s="2"/>
      <c r="J39" s="2"/>
      <c r="K39" s="309">
        <f>SUM(K26:K38)</f>
        <v>389.99466666666524</v>
      </c>
      <c r="L39" s="309">
        <f t="shared" ref="L39:W39" si="16">SUM(L26:L38)</f>
        <v>414.63142652329594</v>
      </c>
      <c r="M39" s="309">
        <f t="shared" si="16"/>
        <v>584.99199999999792</v>
      </c>
      <c r="N39" s="309">
        <f t="shared" si="16"/>
        <v>691.92602150537391</v>
      </c>
      <c r="O39" s="309">
        <f t="shared" si="16"/>
        <v>779.98933333333048</v>
      </c>
      <c r="P39" s="309">
        <f t="shared" si="16"/>
        <v>691.92602150537391</v>
      </c>
      <c r="Q39" s="309">
        <f t="shared" si="16"/>
        <v>649.99111111110892</v>
      </c>
      <c r="R39" s="309">
        <f t="shared" si="16"/>
        <v>812.48888888888632</v>
      </c>
      <c r="S39" s="309">
        <f t="shared" si="16"/>
        <v>786.27956989247025</v>
      </c>
      <c r="T39" s="309">
        <f t="shared" si="16"/>
        <v>779.98933333333048</v>
      </c>
      <c r="U39" s="309">
        <f t="shared" si="16"/>
        <v>566.12129032257872</v>
      </c>
      <c r="V39" s="309">
        <f t="shared" si="16"/>
        <v>519.99288888888714</v>
      </c>
      <c r="W39" s="309">
        <f t="shared" si="16"/>
        <v>7668.3225519712996</v>
      </c>
      <c r="X39" s="309">
        <f t="shared" ref="X39:BC39" si="17">SUM(X26:X38)</f>
        <v>457.46374399999837</v>
      </c>
      <c r="Y39" s="309">
        <f t="shared" si="17"/>
        <v>486.36266331182622</v>
      </c>
      <c r="Z39" s="309">
        <f t="shared" si="17"/>
        <v>686.19561599999759</v>
      </c>
      <c r="AA39" s="309">
        <f t="shared" si="17"/>
        <v>811.6292232258038</v>
      </c>
      <c r="AB39" s="309">
        <f t="shared" si="17"/>
        <v>914.92748799999674</v>
      </c>
      <c r="AC39" s="309">
        <f t="shared" si="17"/>
        <v>811.6292232258038</v>
      </c>
      <c r="AD39" s="309">
        <f t="shared" si="17"/>
        <v>762.43957333333071</v>
      </c>
      <c r="AE39" s="309">
        <f t="shared" si="17"/>
        <v>953.04946666666331</v>
      </c>
      <c r="AF39" s="309">
        <f t="shared" si="17"/>
        <v>922.30593548386764</v>
      </c>
      <c r="AG39" s="309">
        <f t="shared" si="17"/>
        <v>914.92748799999674</v>
      </c>
      <c r="AH39" s="309">
        <f t="shared" si="17"/>
        <v>664.06027354838466</v>
      </c>
      <c r="AI39" s="309">
        <f t="shared" si="17"/>
        <v>609.95165866666446</v>
      </c>
      <c r="AJ39" s="309">
        <f t="shared" si="17"/>
        <v>8994.9423534623329</v>
      </c>
      <c r="AK39" s="309">
        <f t="shared" si="17"/>
        <v>513.27432076799823</v>
      </c>
      <c r="AL39" s="309">
        <f t="shared" si="17"/>
        <v>545.698908235869</v>
      </c>
      <c r="AM39" s="309">
        <f t="shared" si="17"/>
        <v>769.91148115199735</v>
      </c>
      <c r="AN39" s="309">
        <f t="shared" si="17"/>
        <v>910.64798845935184</v>
      </c>
      <c r="AO39" s="309">
        <f t="shared" si="17"/>
        <v>1026.5486415359965</v>
      </c>
      <c r="AP39" s="309">
        <f t="shared" si="17"/>
        <v>910.64798845935184</v>
      </c>
      <c r="AQ39" s="309">
        <f t="shared" si="17"/>
        <v>855.45720127999698</v>
      </c>
      <c r="AR39" s="309">
        <f t="shared" si="17"/>
        <v>1069.3215015999965</v>
      </c>
      <c r="AS39" s="309">
        <f t="shared" si="17"/>
        <v>1034.8272596128995</v>
      </c>
      <c r="AT39" s="309">
        <f t="shared" si="17"/>
        <v>1026.5486415359965</v>
      </c>
      <c r="AU39" s="309">
        <f t="shared" si="17"/>
        <v>745.07562692128784</v>
      </c>
      <c r="AV39" s="309">
        <f t="shared" si="17"/>
        <v>684.36576102399749</v>
      </c>
      <c r="AW39" s="309">
        <f t="shared" si="17"/>
        <v>10092.325320584738</v>
      </c>
      <c r="AX39" s="309">
        <f t="shared" si="17"/>
        <v>549.71679754252602</v>
      </c>
      <c r="AY39" s="309">
        <f t="shared" si="17"/>
        <v>584.44353072061563</v>
      </c>
      <c r="AZ39" s="309">
        <f t="shared" si="17"/>
        <v>824.57519631378921</v>
      </c>
      <c r="BA39" s="309">
        <f t="shared" si="17"/>
        <v>975.30399563996571</v>
      </c>
      <c r="BB39" s="309">
        <f t="shared" si="17"/>
        <v>1099.433595085052</v>
      </c>
      <c r="BC39" s="309">
        <f t="shared" si="17"/>
        <v>975.30399563996571</v>
      </c>
      <c r="BD39" s="309">
        <f t="shared" ref="BD39:BW39" si="18">SUM(BD26:BD38)</f>
        <v>916.19466257087674</v>
      </c>
      <c r="BE39" s="309">
        <f t="shared" si="18"/>
        <v>1145.2433282135962</v>
      </c>
      <c r="BF39" s="309">
        <f t="shared" si="18"/>
        <v>1108.2999950454157</v>
      </c>
      <c r="BG39" s="309">
        <f t="shared" si="18"/>
        <v>1099.433595085052</v>
      </c>
      <c r="BH39" s="309">
        <f t="shared" si="18"/>
        <v>797.97599643269916</v>
      </c>
      <c r="BI39" s="309">
        <f t="shared" si="18"/>
        <v>732.95573005670167</v>
      </c>
      <c r="BJ39" s="309">
        <f t="shared" si="18"/>
        <v>10808.880418346258</v>
      </c>
      <c r="BK39" s="309">
        <f t="shared" si="18"/>
        <v>588.74669016804557</v>
      </c>
      <c r="BL39" s="309">
        <f t="shared" si="18"/>
        <v>625.93902140177954</v>
      </c>
      <c r="BM39" s="309">
        <f t="shared" si="18"/>
        <v>883.12003525206819</v>
      </c>
      <c r="BN39" s="309">
        <f t="shared" si="18"/>
        <v>1044.5505793304035</v>
      </c>
      <c r="BO39" s="309">
        <f t="shared" si="18"/>
        <v>1177.4933803360911</v>
      </c>
      <c r="BP39" s="309">
        <f t="shared" si="18"/>
        <v>1044.5505793304035</v>
      </c>
      <c r="BQ39" s="309">
        <f t="shared" si="18"/>
        <v>981.24448361340922</v>
      </c>
      <c r="BR39" s="309">
        <f t="shared" si="18"/>
        <v>1226.5556045167618</v>
      </c>
      <c r="BS39" s="309">
        <f t="shared" si="18"/>
        <v>1186.9892946936402</v>
      </c>
      <c r="BT39" s="309">
        <f t="shared" si="18"/>
        <v>1177.4933803360911</v>
      </c>
      <c r="BU39" s="309">
        <f t="shared" si="18"/>
        <v>854.63229217942092</v>
      </c>
      <c r="BV39" s="309">
        <f t="shared" si="18"/>
        <v>784.99558689072728</v>
      </c>
      <c r="BW39" s="309">
        <f t="shared" si="18"/>
        <v>11576.310928048841</v>
      </c>
      <c r="BX39" s="3"/>
    </row>
    <row r="40" spans="1:76" ht="15.75" customHeight="1">
      <c r="A40" s="59"/>
      <c r="B40" s="59"/>
      <c r="C40" s="59"/>
      <c r="D40" s="59"/>
      <c r="E40" s="59"/>
      <c r="F40" s="2"/>
      <c r="G40" s="2"/>
      <c r="H40" s="2"/>
      <c r="I40" s="2"/>
      <c r="J40" s="2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  <c r="Y40" s="309"/>
      <c r="Z40" s="309"/>
      <c r="AA40" s="309"/>
      <c r="AB40" s="309"/>
      <c r="AC40" s="309"/>
      <c r="AD40" s="309"/>
      <c r="AE40" s="309"/>
      <c r="AF40" s="309"/>
      <c r="AG40" s="309"/>
      <c r="AH40" s="309"/>
      <c r="AI40" s="309"/>
      <c r="AJ40" s="309"/>
      <c r="AK40" s="309"/>
      <c r="AL40" s="309"/>
      <c r="AM40" s="309"/>
      <c r="AN40" s="309"/>
      <c r="AO40" s="309"/>
      <c r="AP40" s="309"/>
      <c r="AQ40" s="309"/>
      <c r="AR40" s="309"/>
      <c r="AS40" s="309"/>
      <c r="AT40" s="309"/>
      <c r="AU40" s="309"/>
      <c r="AV40" s="309"/>
      <c r="AW40" s="309"/>
      <c r="AX40" s="309"/>
      <c r="AY40" s="309"/>
      <c r="AZ40" s="309"/>
      <c r="BA40" s="309"/>
      <c r="BB40" s="309"/>
      <c r="BC40" s="309"/>
      <c r="BD40" s="309"/>
      <c r="BE40" s="309"/>
      <c r="BF40" s="309"/>
      <c r="BG40" s="309"/>
      <c r="BH40" s="309"/>
      <c r="BI40" s="309"/>
      <c r="BJ40" s="309"/>
      <c r="BK40" s="309"/>
      <c r="BL40" s="309"/>
      <c r="BM40" s="309"/>
      <c r="BN40" s="309"/>
      <c r="BO40" s="309"/>
      <c r="BP40" s="309"/>
      <c r="BQ40" s="309"/>
      <c r="BR40" s="309"/>
      <c r="BS40" s="309"/>
      <c r="BT40" s="309"/>
      <c r="BU40" s="309"/>
      <c r="BV40" s="309"/>
      <c r="BW40" s="309"/>
      <c r="BX40" s="3"/>
    </row>
    <row r="41" spans="1:76" ht="15.75" customHeight="1">
      <c r="A41" s="59" t="s">
        <v>651</v>
      </c>
      <c r="B41" s="59"/>
      <c r="C41" s="59"/>
      <c r="D41" s="59"/>
      <c r="E41" s="59"/>
      <c r="F41" s="2"/>
      <c r="G41" s="2"/>
      <c r="H41" s="2"/>
      <c r="I41" s="2"/>
      <c r="J41" s="2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309"/>
      <c r="Z41" s="309"/>
      <c r="AA41" s="309"/>
      <c r="AB41" s="309"/>
      <c r="AC41" s="309"/>
      <c r="AD41" s="309"/>
      <c r="AE41" s="309"/>
      <c r="AF41" s="309"/>
      <c r="AG41" s="309"/>
      <c r="AH41" s="309"/>
      <c r="AI41" s="309"/>
      <c r="AJ41" s="309"/>
      <c r="AK41" s="309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09"/>
      <c r="AW41" s="309"/>
      <c r="AX41" s="309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09"/>
      <c r="BS41" s="309"/>
      <c r="BT41" s="309"/>
      <c r="BU41" s="309"/>
      <c r="BV41" s="309"/>
      <c r="BW41" s="309"/>
      <c r="BX41" s="3"/>
    </row>
    <row r="42" spans="1:76" ht="15.75" customHeight="1">
      <c r="A42" s="284">
        <v>2</v>
      </c>
      <c r="B42" s="364"/>
      <c r="C42" s="364"/>
      <c r="D42" s="364"/>
      <c r="E42" s="364"/>
      <c r="F42" s="2"/>
      <c r="G42" s="2"/>
      <c r="H42" s="2"/>
      <c r="I42" s="2"/>
      <c r="J42" s="2"/>
      <c r="K42" s="310"/>
      <c r="L42" s="310"/>
      <c r="M42" s="310"/>
      <c r="N42" s="310"/>
      <c r="O42" s="310"/>
      <c r="P42" s="310"/>
      <c r="Q42" s="310"/>
      <c r="R42" s="310"/>
      <c r="S42" s="310"/>
      <c r="T42" s="310"/>
      <c r="U42" s="310"/>
      <c r="V42" s="310"/>
      <c r="W42" s="308"/>
      <c r="X42" s="318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08"/>
      <c r="AK42" s="31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08"/>
      <c r="AX42" s="318"/>
      <c r="AY42" s="310"/>
      <c r="AZ42" s="310"/>
      <c r="BA42" s="310"/>
      <c r="BB42" s="310"/>
      <c r="BC42" s="310"/>
      <c r="BD42" s="310"/>
      <c r="BE42" s="310"/>
      <c r="BF42" s="310"/>
      <c r="BG42" s="310"/>
      <c r="BH42" s="310"/>
      <c r="BI42" s="310"/>
      <c r="BJ42" s="308"/>
      <c r="BK42" s="318"/>
      <c r="BL42" s="310"/>
      <c r="BM42" s="310"/>
      <c r="BN42" s="310"/>
      <c r="BO42" s="310"/>
      <c r="BP42" s="310"/>
      <c r="BQ42" s="310"/>
      <c r="BR42" s="310"/>
      <c r="BS42" s="310"/>
      <c r="BT42" s="310"/>
      <c r="BU42" s="310"/>
      <c r="BV42" s="310"/>
      <c r="BW42" s="308"/>
      <c r="BX42" s="3"/>
    </row>
    <row r="43" spans="1:76" ht="15.75" customHeight="1">
      <c r="A43" s="36" t="s">
        <v>650</v>
      </c>
      <c r="B43" s="364"/>
      <c r="C43" s="364"/>
      <c r="D43" s="364"/>
      <c r="E43" s="364"/>
      <c r="F43" s="2"/>
      <c r="G43" s="2"/>
      <c r="H43" s="2"/>
      <c r="I43" s="2"/>
      <c r="J43" s="2"/>
      <c r="K43" s="310"/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08"/>
      <c r="X43" s="318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08"/>
      <c r="AK43" s="31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08"/>
      <c r="AX43" s="318"/>
      <c r="AY43" s="310"/>
      <c r="AZ43" s="310"/>
      <c r="BA43" s="310"/>
      <c r="BB43" s="310"/>
      <c r="BC43" s="310"/>
      <c r="BD43" s="310"/>
      <c r="BE43" s="310"/>
      <c r="BF43" s="310"/>
      <c r="BG43" s="310"/>
      <c r="BH43" s="310"/>
      <c r="BI43" s="310"/>
      <c r="BJ43" s="308"/>
      <c r="BK43" s="318"/>
      <c r="BL43" s="310"/>
      <c r="BM43" s="310"/>
      <c r="BN43" s="310"/>
      <c r="BO43" s="310"/>
      <c r="BP43" s="310"/>
      <c r="BQ43" s="310"/>
      <c r="BR43" s="310"/>
      <c r="BS43" s="310"/>
      <c r="BT43" s="310"/>
      <c r="BU43" s="310"/>
      <c r="BV43" s="310"/>
      <c r="BW43" s="308"/>
      <c r="BX43" s="3"/>
    </row>
    <row r="44" spans="1:76" ht="15.75" customHeight="1">
      <c r="A44" s="59">
        <f>A10+$A$42*6</f>
        <v>72</v>
      </c>
      <c r="B44" s="59">
        <f>A44*(1+Assumptions!$D$75)</f>
        <v>73.44</v>
      </c>
      <c r="C44" s="59">
        <f>B44*(1+Assumptions!$E$75)</f>
        <v>74.908799999999999</v>
      </c>
      <c r="D44" s="59">
        <f>C44*(1+Assumptions!$F$75)</f>
        <v>76.406976</v>
      </c>
      <c r="E44" s="59">
        <f>D44*(1+Assumptions!$G$75)</f>
        <v>77.935115519999997</v>
      </c>
      <c r="F44" s="2" t="str">
        <f>F10</f>
        <v>Core 1 - Lager</v>
      </c>
      <c r="G44" s="2"/>
      <c r="H44" s="2"/>
      <c r="I44" s="2"/>
      <c r="J44" s="2"/>
      <c r="K44" s="309">
        <f>'Beer Revenue'!L121*'Beer COGS'!$A44</f>
        <v>16.960050000000003</v>
      </c>
      <c r="L44" s="309">
        <f>'Beer Revenue'!M121*'Beer COGS'!$A44</f>
        <v>18.031451008064515</v>
      </c>
      <c r="M44" s="309">
        <f>'Beer Revenue'!N121*'Beer COGS'!$A44</f>
        <v>25.440075000000004</v>
      </c>
      <c r="N44" s="309">
        <f>'Beer Revenue'!O121*'Beer COGS'!$A44</f>
        <v>30.090411290322592</v>
      </c>
      <c r="O44" s="309">
        <f>'Beer Revenue'!P121*'Beer COGS'!$A44</f>
        <v>33.920100000000005</v>
      </c>
      <c r="P44" s="309">
        <f>'Beer Revenue'!Q121*'Beer COGS'!$A44</f>
        <v>30.090411290322592</v>
      </c>
      <c r="Q44" s="309">
        <f>'Beer Revenue'!R121*'Beer COGS'!$A44</f>
        <v>28.266750000000005</v>
      </c>
      <c r="R44" s="309">
        <f>'Beer Revenue'!S121*'Beer COGS'!$A44</f>
        <v>35.333437500000009</v>
      </c>
      <c r="S44" s="309">
        <f>'Beer Revenue'!T121*'Beer COGS'!$A44</f>
        <v>34.193649193548389</v>
      </c>
      <c r="T44" s="309">
        <f>'Beer Revenue'!U121*'Beer COGS'!$A44</f>
        <v>33.920100000000005</v>
      </c>
      <c r="U44" s="309">
        <f>'Beer Revenue'!V121*'Beer COGS'!$A44</f>
        <v>24.619427419354842</v>
      </c>
      <c r="V44" s="309">
        <f>'Beer Revenue'!W121*'Beer COGS'!$A44</f>
        <v>22.613400000000002</v>
      </c>
      <c r="W44" s="309">
        <f>SUM(K44:V44)</f>
        <v>333.47926270161298</v>
      </c>
      <c r="X44" s="309">
        <f>$B44*'Beer Revenue'!Y121</f>
        <v>19.894138649999999</v>
      </c>
      <c r="Y44" s="309">
        <f>$B44*'Beer Revenue'!Z121</f>
        <v>21.150892032459677</v>
      </c>
      <c r="Z44" s="309">
        <f>$B44*'Beer Revenue'!AA121</f>
        <v>29.841207975</v>
      </c>
      <c r="AA44" s="309">
        <f>$B44*'Beer Revenue'!AB121</f>
        <v>35.29605244354839</v>
      </c>
      <c r="AB44" s="309">
        <f>$B44*'Beer Revenue'!AC121</f>
        <v>39.788277299999997</v>
      </c>
      <c r="AC44" s="309">
        <f>$B44*'Beer Revenue'!AD121</f>
        <v>35.29605244354839</v>
      </c>
      <c r="AD44" s="309">
        <f>$B44*'Beer Revenue'!AE121</f>
        <v>33.156897750000006</v>
      </c>
      <c r="AE44" s="309">
        <f>$B44*'Beer Revenue'!AF121</f>
        <v>41.446122187500002</v>
      </c>
      <c r="AF44" s="309">
        <f>$B44*'Beer Revenue'!AG121</f>
        <v>40.10915050403225</v>
      </c>
      <c r="AG44" s="309">
        <f>$B44*'Beer Revenue'!AH121</f>
        <v>39.788277299999997</v>
      </c>
      <c r="AH44" s="309">
        <f>$B44*'Beer Revenue'!AI121</f>
        <v>28.87858836290323</v>
      </c>
      <c r="AI44" s="309">
        <f>$B44*'Beer Revenue'!AJ121</f>
        <v>26.5255182</v>
      </c>
      <c r="AJ44" s="312">
        <f t="shared" ref="AJ44:AJ47" si="19">SUM(X44:AI44)</f>
        <v>391.17117514899195</v>
      </c>
      <c r="AK44" s="309">
        <f>$C44*'Beer Revenue'!AL121</f>
        <v>22.321223565299999</v>
      </c>
      <c r="AL44" s="309">
        <f>$C44*'Beer Revenue'!AM121</f>
        <v>23.731300860419761</v>
      </c>
      <c r="AM44" s="309">
        <f>$C44*'Beer Revenue'!AN121</f>
        <v>33.481835347950003</v>
      </c>
      <c r="AN44" s="309">
        <f>$C44*'Beer Revenue'!AO121</f>
        <v>39.602170841661305</v>
      </c>
      <c r="AO44" s="309">
        <f>$C44*'Beer Revenue'!AP121</f>
        <v>44.642447130599997</v>
      </c>
      <c r="AP44" s="309">
        <f>$C44*'Beer Revenue'!AQ121</f>
        <v>39.602170841661305</v>
      </c>
      <c r="AQ44" s="309">
        <f>$C44*'Beer Revenue'!AR121</f>
        <v>37.202039275499999</v>
      </c>
      <c r="AR44" s="309">
        <f>$C44*'Beer Revenue'!AS121</f>
        <v>46.502549094375013</v>
      </c>
      <c r="AS44" s="309">
        <f>$C44*'Beer Revenue'!AT121</f>
        <v>45.002466865524191</v>
      </c>
      <c r="AT44" s="309">
        <f>$C44*'Beer Revenue'!AU121</f>
        <v>44.642447130599997</v>
      </c>
      <c r="AU44" s="309">
        <f>$C44*'Beer Revenue'!AV121</f>
        <v>32.401776143177429</v>
      </c>
      <c r="AV44" s="309">
        <f>$C44*'Beer Revenue'!AW121</f>
        <v>29.761631420400008</v>
      </c>
      <c r="AW44" s="312">
        <f t="shared" ref="AW44:AW47" si="20">SUM(AK44:AV44)</f>
        <v>438.89405851716896</v>
      </c>
      <c r="AX44" s="309">
        <f>$D44*'Beer Revenue'!AY121</f>
        <v>23.9060304384363</v>
      </c>
      <c r="AY44" s="309">
        <f>$D44*'Beer Revenue'!AZ121</f>
        <v>25.416223221509565</v>
      </c>
      <c r="AZ44" s="309">
        <f>$D44*'Beer Revenue'!BA121</f>
        <v>35.859045657654455</v>
      </c>
      <c r="BA44" s="309">
        <f>$D44*'Beer Revenue'!BB121</f>
        <v>42.413924971419256</v>
      </c>
      <c r="BB44" s="309">
        <f>$D44*'Beer Revenue'!BC121</f>
        <v>47.8120608768726</v>
      </c>
      <c r="BC44" s="309">
        <f>$D44*'Beer Revenue'!BD121</f>
        <v>42.413924971419256</v>
      </c>
      <c r="BD44" s="309">
        <f>$D44*'Beer Revenue'!BE121</f>
        <v>39.843384064060501</v>
      </c>
      <c r="BE44" s="309">
        <f>$D44*'Beer Revenue'!BF121</f>
        <v>49.804230080075641</v>
      </c>
      <c r="BF44" s="309">
        <f>$D44*'Beer Revenue'!BG121</f>
        <v>48.197642012976409</v>
      </c>
      <c r="BG44" s="309">
        <f>$D44*'Beer Revenue'!BH121</f>
        <v>47.8120608768726</v>
      </c>
      <c r="BH44" s="309">
        <f>$D44*'Beer Revenue'!BI121</f>
        <v>34.702302249343028</v>
      </c>
      <c r="BI44" s="309">
        <f>$D44*'Beer Revenue'!BJ121</f>
        <v>31.874707251248406</v>
      </c>
      <c r="BJ44" s="312">
        <f t="shared" ref="BJ44:BJ47" si="21">SUM(AX44:BI44)</f>
        <v>470.05553667188798</v>
      </c>
      <c r="BK44" s="309">
        <f>$E44*'Beer Revenue'!BL121</f>
        <v>25.603358599565279</v>
      </c>
      <c r="BL44" s="309">
        <f>$E44*'Beer Revenue'!BM121</f>
        <v>27.220775070236744</v>
      </c>
      <c r="BM44" s="309">
        <f>$E44*'Beer Revenue'!BN121</f>
        <v>38.405037899347924</v>
      </c>
      <c r="BN44" s="309">
        <f>$E44*'Beer Revenue'!BO121</f>
        <v>45.425313644390037</v>
      </c>
      <c r="BO44" s="309">
        <f>$E44*'Beer Revenue'!BP121</f>
        <v>51.206717199130559</v>
      </c>
      <c r="BP44" s="309">
        <f>$E44*'Beer Revenue'!BQ121</f>
        <v>45.425313644390037</v>
      </c>
      <c r="BQ44" s="309">
        <f>$E44*'Beer Revenue'!BR121</f>
        <v>42.67226433260879</v>
      </c>
      <c r="BR44" s="309">
        <f>$E44*'Beer Revenue'!BS121</f>
        <v>53.340330415761002</v>
      </c>
      <c r="BS44" s="309">
        <f>$E44*'Beer Revenue'!BT121</f>
        <v>51.619674595897735</v>
      </c>
      <c r="BT44" s="309">
        <f>$E44*'Beer Revenue'!BU121</f>
        <v>51.206717199130559</v>
      </c>
      <c r="BU44" s="309">
        <f>$E44*'Beer Revenue'!BV121</f>
        <v>37.166165709046389</v>
      </c>
      <c r="BV44" s="309">
        <f>$E44*'Beer Revenue'!BW121</f>
        <v>34.137811466087037</v>
      </c>
      <c r="BW44" s="312">
        <f t="shared" ref="BW44:BW47" si="22">SUM(BK44:BV44)</f>
        <v>503.42947977559203</v>
      </c>
      <c r="BX44" s="3"/>
    </row>
    <row r="45" spans="1:76" ht="15.75" customHeight="1">
      <c r="A45" s="59">
        <f t="shared" ref="A45:A47" si="23">A11+$A$42*6</f>
        <v>172</v>
      </c>
      <c r="B45" s="59">
        <f>A45*(1+Assumptions!$D$75)</f>
        <v>175.44</v>
      </c>
      <c r="C45" s="59">
        <f>B45*(1+Assumptions!$E$75)</f>
        <v>178.94880000000001</v>
      </c>
      <c r="D45" s="59">
        <f>C45*(1+Assumptions!$F$75)</f>
        <v>182.52777600000002</v>
      </c>
      <c r="E45" s="59">
        <f>D45*(1+Assumptions!$G$75)</f>
        <v>186.17833152000003</v>
      </c>
      <c r="F45" s="2" t="str">
        <f t="shared" ref="F45:F47" si="24">F11</f>
        <v>Core 2 - Hoppy Pale</v>
      </c>
      <c r="G45" s="2"/>
      <c r="H45" s="2"/>
      <c r="I45" s="2"/>
      <c r="J45" s="2"/>
      <c r="K45" s="309">
        <f>'Beer Revenue'!L122*'Beer COGS'!$A45</f>
        <v>60.773512499999995</v>
      </c>
      <c r="L45" s="309">
        <f>'Beer Revenue'!M122*'Beer COGS'!$A45</f>
        <v>64.612699445564502</v>
      </c>
      <c r="M45" s="309">
        <f>'Beer Revenue'!N122*'Beer COGS'!$A45</f>
        <v>91.16026875</v>
      </c>
      <c r="N45" s="309">
        <f>'Beer Revenue'!O122*'Beer COGS'!$A45</f>
        <v>107.82397379032258</v>
      </c>
      <c r="O45" s="309">
        <f>'Beer Revenue'!P122*'Beer COGS'!$A45</f>
        <v>121.54702499999999</v>
      </c>
      <c r="P45" s="309">
        <f>'Beer Revenue'!Q122*'Beer COGS'!$A45</f>
        <v>107.82397379032258</v>
      </c>
      <c r="Q45" s="309">
        <f>'Beer Revenue'!R122*'Beer COGS'!$A45</f>
        <v>101.2891875</v>
      </c>
      <c r="R45" s="309">
        <f>'Beer Revenue'!S122*'Beer COGS'!$A45</f>
        <v>126.61148437499999</v>
      </c>
      <c r="S45" s="309">
        <f>'Beer Revenue'!T122*'Beer COGS'!$A45</f>
        <v>122.52724294354839</v>
      </c>
      <c r="T45" s="309">
        <f>'Beer Revenue'!U122*'Beer COGS'!$A45</f>
        <v>121.54702499999999</v>
      </c>
      <c r="U45" s="309">
        <f>'Beer Revenue'!V122*'Beer COGS'!$A45</f>
        <v>88.219614919354854</v>
      </c>
      <c r="V45" s="309">
        <f>'Beer Revenue'!W122*'Beer COGS'!$A45</f>
        <v>81.031350000000003</v>
      </c>
      <c r="W45" s="309">
        <f t="shared" ref="W45:W47" si="25">SUM(K45:V45)</f>
        <v>1194.967358014113</v>
      </c>
      <c r="X45" s="309">
        <f>$B45*'Beer Revenue'!Y122</f>
        <v>71.287330162499998</v>
      </c>
      <c r="Y45" s="309">
        <f>$B45*'Beer Revenue'!Z122</f>
        <v>75.790696449647157</v>
      </c>
      <c r="Z45" s="309">
        <f>$B45*'Beer Revenue'!AA122</f>
        <v>106.93099524375</v>
      </c>
      <c r="AA45" s="309">
        <f>$B45*'Beer Revenue'!AB122</f>
        <v>126.47752125604838</v>
      </c>
      <c r="AB45" s="309">
        <f>$B45*'Beer Revenue'!AC122</f>
        <v>142.574660325</v>
      </c>
      <c r="AC45" s="309">
        <f>$B45*'Beer Revenue'!AD122</f>
        <v>126.47752125604838</v>
      </c>
      <c r="AD45" s="309">
        <f>$B45*'Beer Revenue'!AE122</f>
        <v>118.81221693750001</v>
      </c>
      <c r="AE45" s="309">
        <f>$B45*'Beer Revenue'!AF122</f>
        <v>148.51527117187496</v>
      </c>
      <c r="AF45" s="309">
        <f>$B45*'Beer Revenue'!AG122</f>
        <v>143.72445597278224</v>
      </c>
      <c r="AG45" s="309">
        <f>$B45*'Beer Revenue'!AH122</f>
        <v>142.574660325</v>
      </c>
      <c r="AH45" s="309">
        <f>$B45*'Beer Revenue'!AI122</f>
        <v>103.48160830040322</v>
      </c>
      <c r="AI45" s="309">
        <f>$B45*'Beer Revenue'!AJ122</f>
        <v>95.049773549999983</v>
      </c>
      <c r="AJ45" s="312">
        <f t="shared" si="19"/>
        <v>1401.6967109505542</v>
      </c>
      <c r="AK45" s="309">
        <f>$C45*'Beer Revenue'!AL122</f>
        <v>79.984384442324981</v>
      </c>
      <c r="AL45" s="309">
        <f>$C45*'Beer Revenue'!AM122</f>
        <v>85.037161416504119</v>
      </c>
      <c r="AM45" s="309">
        <f>$C45*'Beer Revenue'!AN122</f>
        <v>119.97657666348752</v>
      </c>
      <c r="AN45" s="309">
        <f>$C45*'Beer Revenue'!AO122</f>
        <v>141.90777884928627</v>
      </c>
      <c r="AO45" s="309">
        <f>$C45*'Beer Revenue'!AP122</f>
        <v>159.96876888464996</v>
      </c>
      <c r="AP45" s="309">
        <f>$C45*'Beer Revenue'!AQ122</f>
        <v>141.90777884928627</v>
      </c>
      <c r="AQ45" s="309">
        <f>$C45*'Beer Revenue'!AR122</f>
        <v>133.307307403875</v>
      </c>
      <c r="AR45" s="309">
        <f>$C45*'Beer Revenue'!AS122</f>
        <v>166.63413425484376</v>
      </c>
      <c r="AS45" s="309">
        <f>$C45*'Beer Revenue'!AT122</f>
        <v>161.25883960146172</v>
      </c>
      <c r="AT45" s="309">
        <f>$C45*'Beer Revenue'!AU122</f>
        <v>159.96876888464996</v>
      </c>
      <c r="AU45" s="309">
        <f>$C45*'Beer Revenue'!AV122</f>
        <v>116.10636451305243</v>
      </c>
      <c r="AV45" s="309">
        <f>$C45*'Beer Revenue'!AW122</f>
        <v>106.6458459231</v>
      </c>
      <c r="AW45" s="312">
        <f t="shared" si="20"/>
        <v>1572.7037096865222</v>
      </c>
      <c r="AX45" s="309">
        <f>$D45*'Beer Revenue'!AY122</f>
        <v>85.663275737730089</v>
      </c>
      <c r="AY45" s="309">
        <f>$D45*'Beer Revenue'!AZ122</f>
        <v>91.074799877075918</v>
      </c>
      <c r="AZ45" s="309">
        <f>$D45*'Beer Revenue'!BA122</f>
        <v>128.49491360659516</v>
      </c>
      <c r="BA45" s="309">
        <f>$D45*'Beer Revenue'!BB122</f>
        <v>151.98323114758563</v>
      </c>
      <c r="BB45" s="309">
        <f>$D45*'Beer Revenue'!BC122</f>
        <v>171.32655147546018</v>
      </c>
      <c r="BC45" s="309">
        <f>$D45*'Beer Revenue'!BD122</f>
        <v>151.98323114758563</v>
      </c>
      <c r="BD45" s="309">
        <f>$D45*'Beer Revenue'!BE122</f>
        <v>142.77212622955017</v>
      </c>
      <c r="BE45" s="309">
        <f>$D45*'Beer Revenue'!BF122</f>
        <v>178.46515778693765</v>
      </c>
      <c r="BF45" s="309">
        <f>$D45*'Beer Revenue'!BG122</f>
        <v>172.70821721316551</v>
      </c>
      <c r="BG45" s="309">
        <f>$D45*'Beer Revenue'!BH122</f>
        <v>171.32655147546018</v>
      </c>
      <c r="BH45" s="309">
        <f>$D45*'Beer Revenue'!BI122</f>
        <v>124.34991639347916</v>
      </c>
      <c r="BI45" s="309">
        <f>$D45*'Beer Revenue'!BJ122</f>
        <v>114.21770098364011</v>
      </c>
      <c r="BJ45" s="312">
        <f t="shared" si="21"/>
        <v>1684.3656730742653</v>
      </c>
      <c r="BK45" s="309">
        <f>$E45*'Beer Revenue'!BL122</f>
        <v>91.745368315108948</v>
      </c>
      <c r="BL45" s="309">
        <f>$E45*'Beer Revenue'!BM122</f>
        <v>97.541110668348338</v>
      </c>
      <c r="BM45" s="309">
        <f>$E45*'Beer Revenue'!BN122</f>
        <v>137.61805247266341</v>
      </c>
      <c r="BN45" s="309">
        <f>$E45*'Beer Revenue'!BO122</f>
        <v>162.77404055906422</v>
      </c>
      <c r="BO45" s="309">
        <f>$E45*'Beer Revenue'!BP122</f>
        <v>183.4907366302179</v>
      </c>
      <c r="BP45" s="309">
        <f>$E45*'Beer Revenue'!BQ122</f>
        <v>162.77404055906422</v>
      </c>
      <c r="BQ45" s="309">
        <f>$E45*'Beer Revenue'!BR122</f>
        <v>152.90894719184826</v>
      </c>
      <c r="BR45" s="309">
        <f>$E45*'Beer Revenue'!BS122</f>
        <v>191.13618398981026</v>
      </c>
      <c r="BS45" s="309">
        <f>$E45*'Beer Revenue'!BT122</f>
        <v>184.97050063530028</v>
      </c>
      <c r="BT45" s="309">
        <f>$E45*'Beer Revenue'!BU122</f>
        <v>183.4907366302179</v>
      </c>
      <c r="BU45" s="309">
        <f>$E45*'Beer Revenue'!BV122</f>
        <v>133.17876045741622</v>
      </c>
      <c r="BV45" s="309">
        <f>$E45*'Beer Revenue'!BW122</f>
        <v>122.32715775347857</v>
      </c>
      <c r="BW45" s="312">
        <f t="shared" si="22"/>
        <v>1803.9556358625389</v>
      </c>
      <c r="BX45" s="3"/>
    </row>
    <row r="46" spans="1:76" ht="15.75" customHeight="1">
      <c r="A46" s="59">
        <f t="shared" si="23"/>
        <v>82</v>
      </c>
      <c r="B46" s="59">
        <f>A46*(1+Assumptions!$D$75)</f>
        <v>83.64</v>
      </c>
      <c r="C46" s="59">
        <f>B46*(1+Assumptions!$E$75)</f>
        <v>85.312799999999996</v>
      </c>
      <c r="D46" s="59">
        <f>C46*(1+Assumptions!$F$75)</f>
        <v>87.019055999999992</v>
      </c>
      <c r="E46" s="59">
        <f>D46*(1+Assumptions!$G$75)</f>
        <v>88.759437119999987</v>
      </c>
      <c r="F46" s="2" t="str">
        <f t="shared" si="24"/>
        <v>Core 3 - Red Ale</v>
      </c>
      <c r="K46" s="309">
        <f>'Beer Revenue'!L123*'Beer COGS'!$A46</f>
        <v>7.9331979910714292</v>
      </c>
      <c r="L46" s="309">
        <f>'Beer Revenue'!M123*'Beer COGS'!$A46</f>
        <v>8.4343543157762095</v>
      </c>
      <c r="M46" s="309">
        <f>'Beer Revenue'!N123*'Beer COGS'!$A46</f>
        <v>11.899796986607146</v>
      </c>
      <c r="N46" s="309">
        <f>'Beer Revenue'!O123*'Beer COGS'!$A46</f>
        <v>14.07502869383641</v>
      </c>
      <c r="O46" s="309">
        <f>'Beer Revenue'!P123*'Beer COGS'!$A46</f>
        <v>15.866395982142858</v>
      </c>
      <c r="P46" s="309">
        <f>'Beer Revenue'!Q123*'Beer COGS'!$A46</f>
        <v>14.07502869383641</v>
      </c>
      <c r="Q46" s="309">
        <f>'Beer Revenue'!R123*'Beer COGS'!$A46</f>
        <v>13.221996651785716</v>
      </c>
      <c r="R46" s="309">
        <f>'Beer Revenue'!S123*'Beer COGS'!$A46</f>
        <v>16.527495814732145</v>
      </c>
      <c r="S46" s="309">
        <f>'Beer Revenue'!T123*'Beer COGS'!$A46</f>
        <v>15.994350788450461</v>
      </c>
      <c r="T46" s="309">
        <f>'Beer Revenue'!U123*'Beer COGS'!$A46</f>
        <v>15.866395982142858</v>
      </c>
      <c r="U46" s="309">
        <f>'Beer Revenue'!V123*'Beer COGS'!$A46</f>
        <v>11.515932567684334</v>
      </c>
      <c r="V46" s="309">
        <f>'Beer Revenue'!W123*'Beer COGS'!$A46</f>
        <v>10.577597321428573</v>
      </c>
      <c r="W46" s="309">
        <f t="shared" si="25"/>
        <v>155.98757178949455</v>
      </c>
      <c r="X46" s="309">
        <f>$B46*'Beer Revenue'!Y123</f>
        <v>9.3056412435267841</v>
      </c>
      <c r="Y46" s="309">
        <f>$B46*'Beer Revenue'!Z123</f>
        <v>9.8934976124054934</v>
      </c>
      <c r="Z46" s="309">
        <f>$B46*'Beer Revenue'!AA123</f>
        <v>13.958461865290181</v>
      </c>
      <c r="AA46" s="309">
        <f>$B46*'Beer Revenue'!AB123</f>
        <v>16.510008657870106</v>
      </c>
      <c r="AB46" s="309">
        <f>$B46*'Beer Revenue'!AC123</f>
        <v>18.611282487053568</v>
      </c>
      <c r="AC46" s="309">
        <f>$B46*'Beer Revenue'!AD123</f>
        <v>16.510008657870106</v>
      </c>
      <c r="AD46" s="309">
        <f>$B46*'Beer Revenue'!AE123</f>
        <v>15.509402072544646</v>
      </c>
      <c r="AE46" s="309">
        <f>$B46*'Beer Revenue'!AF123</f>
        <v>19.386752590680803</v>
      </c>
      <c r="AF46" s="309">
        <f>$B46*'Beer Revenue'!AG123</f>
        <v>18.761373474852387</v>
      </c>
      <c r="AG46" s="309">
        <f>$B46*'Beer Revenue'!AH123</f>
        <v>18.611282487053568</v>
      </c>
      <c r="AH46" s="309">
        <f>$B46*'Beer Revenue'!AI123</f>
        <v>13.508188901893721</v>
      </c>
      <c r="AI46" s="309">
        <f>$B46*'Beer Revenue'!AJ123</f>
        <v>12.407521658035717</v>
      </c>
      <c r="AJ46" s="312">
        <f t="shared" si="19"/>
        <v>182.97342170907706</v>
      </c>
      <c r="AK46" s="309">
        <f>$C46*'Beer Revenue'!AL123</f>
        <v>10.440929475237054</v>
      </c>
      <c r="AL46" s="309">
        <f>$C46*'Beer Revenue'!AM123</f>
        <v>11.100504321118963</v>
      </c>
      <c r="AM46" s="309">
        <f>$C46*'Beer Revenue'!AN123</f>
        <v>15.661394212855582</v>
      </c>
      <c r="AN46" s="309">
        <f>$C46*'Beer Revenue'!AO123</f>
        <v>18.524229714130257</v>
      </c>
      <c r="AO46" s="309">
        <f>$C46*'Beer Revenue'!AP123</f>
        <v>20.881858950474108</v>
      </c>
      <c r="AP46" s="309">
        <f>$C46*'Beer Revenue'!AQ123</f>
        <v>18.524229714130257</v>
      </c>
      <c r="AQ46" s="309">
        <f>$C46*'Beer Revenue'!AR123</f>
        <v>17.401549125395086</v>
      </c>
      <c r="AR46" s="309">
        <f>$C46*'Beer Revenue'!AS123</f>
        <v>21.751936406743862</v>
      </c>
      <c r="AS46" s="309">
        <f>$C46*'Beer Revenue'!AT123</f>
        <v>21.050261038784381</v>
      </c>
      <c r="AT46" s="309">
        <f>$C46*'Beer Revenue'!AU123</f>
        <v>20.881858950474108</v>
      </c>
      <c r="AU46" s="309">
        <f>$C46*'Beer Revenue'!AV123</f>
        <v>15.156187947924758</v>
      </c>
      <c r="AV46" s="309">
        <f>$C46*'Beer Revenue'!AW123</f>
        <v>13.921239300316072</v>
      </c>
      <c r="AW46" s="312">
        <f t="shared" si="20"/>
        <v>205.2961791575845</v>
      </c>
      <c r="AX46" s="309">
        <f>$D46*'Beer Revenue'!AY123</f>
        <v>11.182235467978884</v>
      </c>
      <c r="AY46" s="309">
        <f>$D46*'Beer Revenue'!AZ123</f>
        <v>11.888640127918411</v>
      </c>
      <c r="AZ46" s="309">
        <f>$D46*'Beer Revenue'!BA123</f>
        <v>16.77335320196833</v>
      </c>
      <c r="BA46" s="309">
        <f>$D46*'Beer Revenue'!BB123</f>
        <v>19.839450023833511</v>
      </c>
      <c r="BB46" s="309">
        <f>$D46*'Beer Revenue'!BC123</f>
        <v>22.364470935957769</v>
      </c>
      <c r="BC46" s="309">
        <f>$D46*'Beer Revenue'!BD123</f>
        <v>19.839450023833511</v>
      </c>
      <c r="BD46" s="309">
        <f>$D46*'Beer Revenue'!BE123</f>
        <v>18.63705911329814</v>
      </c>
      <c r="BE46" s="309">
        <f>$D46*'Beer Revenue'!BF123</f>
        <v>23.296323891622681</v>
      </c>
      <c r="BF46" s="309">
        <f>$D46*'Beer Revenue'!BG123</f>
        <v>22.54482957253807</v>
      </c>
      <c r="BG46" s="309">
        <f>$D46*'Beer Revenue'!BH123</f>
        <v>22.364470935957769</v>
      </c>
      <c r="BH46" s="309">
        <f>$D46*'Beer Revenue'!BI123</f>
        <v>16.232277292227419</v>
      </c>
      <c r="BI46" s="309">
        <f>$D46*'Beer Revenue'!BJ123</f>
        <v>14.909647290638516</v>
      </c>
      <c r="BJ46" s="312">
        <f t="shared" si="21"/>
        <v>219.87220787777301</v>
      </c>
      <c r="BK46" s="309">
        <f>$E46*'Beer Revenue'!BL123</f>
        <v>11.976174186205384</v>
      </c>
      <c r="BL46" s="309">
        <f>$E46*'Beer Revenue'!BM123</f>
        <v>12.732733577000616</v>
      </c>
      <c r="BM46" s="309">
        <f>$E46*'Beer Revenue'!BN123</f>
        <v>17.964261279308083</v>
      </c>
      <c r="BN46" s="309">
        <f>$E46*'Beer Revenue'!BO123</f>
        <v>21.24805097552569</v>
      </c>
      <c r="BO46" s="309">
        <f>$E46*'Beer Revenue'!BP123</f>
        <v>23.952348372410768</v>
      </c>
      <c r="BP46" s="309">
        <f>$E46*'Beer Revenue'!BQ123</f>
        <v>21.24805097552569</v>
      </c>
      <c r="BQ46" s="309">
        <f>$E46*'Beer Revenue'!BR123</f>
        <v>19.960290310342305</v>
      </c>
      <c r="BR46" s="309">
        <f>$E46*'Beer Revenue'!BS123</f>
        <v>24.950362887927888</v>
      </c>
      <c r="BS46" s="309">
        <f>$E46*'Beer Revenue'!BT123</f>
        <v>24.145512472188273</v>
      </c>
      <c r="BT46" s="309">
        <f>$E46*'Beer Revenue'!BU123</f>
        <v>23.952348372410768</v>
      </c>
      <c r="BU46" s="309">
        <f>$E46*'Beer Revenue'!BV123</f>
        <v>17.384768979975565</v>
      </c>
      <c r="BV46" s="309">
        <f>$E46*'Beer Revenue'!BW123</f>
        <v>15.968232248273852</v>
      </c>
      <c r="BW46" s="312">
        <f t="shared" si="22"/>
        <v>235.48313463709491</v>
      </c>
    </row>
    <row r="47" spans="1:76" ht="15.75" customHeight="1">
      <c r="A47" s="59">
        <f t="shared" si="23"/>
        <v>92</v>
      </c>
      <c r="B47" s="59">
        <f>A47*(1+Assumptions!$D$75)</f>
        <v>93.84</v>
      </c>
      <c r="C47" s="59">
        <f>B47*(1+Assumptions!$E$75)</f>
        <v>95.716800000000006</v>
      </c>
      <c r="D47" s="59">
        <f>C47*(1+Assumptions!$F$75)</f>
        <v>97.631136000000012</v>
      </c>
      <c r="E47" s="59">
        <f>D47*(1+Assumptions!$G$75)</f>
        <v>99.58375872000002</v>
      </c>
      <c r="F47" s="2" t="str">
        <f t="shared" si="24"/>
        <v>Core 4 - Dark (Porter?)</v>
      </c>
      <c r="K47" s="309">
        <f>'Beer Revenue'!L124*'Beer COGS'!$A47</f>
        <v>4.4503305803571429</v>
      </c>
      <c r="L47" s="309">
        <f>'Beer Revenue'!M124*'Beer COGS'!$A47</f>
        <v>4.7314670551915317</v>
      </c>
      <c r="M47" s="309">
        <f>'Beer Revenue'!N124*'Beer COGS'!$A47</f>
        <v>6.6754958705357161</v>
      </c>
      <c r="N47" s="309">
        <f>'Beer Revenue'!O124*'Beer COGS'!$A47</f>
        <v>7.8957478038594493</v>
      </c>
      <c r="O47" s="309">
        <f>'Beer Revenue'!P124*'Beer COGS'!$A47</f>
        <v>8.9006611607142858</v>
      </c>
      <c r="P47" s="309">
        <f>'Beer Revenue'!Q124*'Beer COGS'!$A47</f>
        <v>7.8957478038594493</v>
      </c>
      <c r="Q47" s="309">
        <f>'Beer Revenue'!R124*'Beer COGS'!$A47</f>
        <v>7.4172176339285727</v>
      </c>
      <c r="R47" s="309">
        <f>'Beer Revenue'!S124*'Beer COGS'!$A47</f>
        <v>9.2715220424107159</v>
      </c>
      <c r="S47" s="309">
        <f>'Beer Revenue'!T124*'Beer COGS'!$A47</f>
        <v>8.9724406862039174</v>
      </c>
      <c r="T47" s="309">
        <f>'Beer Revenue'!U124*'Beer COGS'!$A47</f>
        <v>8.9006611607142858</v>
      </c>
      <c r="U47" s="309">
        <f>'Beer Revenue'!V124*'Beer COGS'!$A47</f>
        <v>6.4601572940668213</v>
      </c>
      <c r="V47" s="309">
        <f>'Beer Revenue'!W124*'Beer COGS'!$A47</f>
        <v>5.9337741071428587</v>
      </c>
      <c r="W47" s="309">
        <f t="shared" si="25"/>
        <v>87.505223198984737</v>
      </c>
      <c r="X47" s="309">
        <f>$B47*'Beer Revenue'!Y124</f>
        <v>5.2202377707589287</v>
      </c>
      <c r="Y47" s="309">
        <f>$B47*'Beer Revenue'!Z124</f>
        <v>5.550010855739667</v>
      </c>
      <c r="Z47" s="309">
        <f>$B47*'Beer Revenue'!AA124</f>
        <v>7.8303566561383935</v>
      </c>
      <c r="AA47" s="309">
        <f>$B47*'Beer Revenue'!AB124</f>
        <v>9.2617121739271333</v>
      </c>
      <c r="AB47" s="309">
        <f>$B47*'Beer Revenue'!AC124</f>
        <v>10.440475541517857</v>
      </c>
      <c r="AC47" s="309">
        <f>$B47*'Beer Revenue'!AD124</f>
        <v>9.2617121739271333</v>
      </c>
      <c r="AD47" s="309">
        <f>$B47*'Beer Revenue'!AE124</f>
        <v>8.7003962845982148</v>
      </c>
      <c r="AE47" s="309">
        <f>$B47*'Beer Revenue'!AF124</f>
        <v>10.875495355747768</v>
      </c>
      <c r="AF47" s="309">
        <f>$B47*'Beer Revenue'!AG124</f>
        <v>10.524672924917194</v>
      </c>
      <c r="AG47" s="309">
        <f>$B47*'Beer Revenue'!AH124</f>
        <v>10.440475541517857</v>
      </c>
      <c r="AH47" s="309">
        <f>$B47*'Beer Revenue'!AI124</f>
        <v>7.5777645059403804</v>
      </c>
      <c r="AI47" s="309">
        <f>$B47*'Beer Revenue'!AJ124</f>
        <v>6.9603170276785731</v>
      </c>
      <c r="AJ47" s="312">
        <f t="shared" si="19"/>
        <v>102.64362681240911</v>
      </c>
      <c r="AK47" s="309">
        <f>$C47*'Beer Revenue'!AL124</f>
        <v>5.8571067787915192</v>
      </c>
      <c r="AL47" s="309">
        <f>$C47*'Beer Revenue'!AM124</f>
        <v>6.2271121801399074</v>
      </c>
      <c r="AM47" s="309">
        <f>$C47*'Beer Revenue'!AN124</f>
        <v>8.7856601681872792</v>
      </c>
      <c r="AN47" s="309">
        <f>$C47*'Beer Revenue'!AO124</f>
        <v>10.391641059146243</v>
      </c>
      <c r="AO47" s="309">
        <f>$C47*'Beer Revenue'!AP124</f>
        <v>11.714213557583038</v>
      </c>
      <c r="AP47" s="309">
        <f>$C47*'Beer Revenue'!AQ124</f>
        <v>10.391641059146243</v>
      </c>
      <c r="AQ47" s="309">
        <f>$C47*'Beer Revenue'!AR124</f>
        <v>9.761844631319196</v>
      </c>
      <c r="AR47" s="309">
        <f>$C47*'Beer Revenue'!AS124</f>
        <v>12.202305789148998</v>
      </c>
      <c r="AS47" s="309">
        <f>$C47*'Beer Revenue'!AT124</f>
        <v>11.808683021757094</v>
      </c>
      <c r="AT47" s="309">
        <f>$C47*'Beer Revenue'!AU124</f>
        <v>11.714213557583038</v>
      </c>
      <c r="AU47" s="309">
        <f>$C47*'Beer Revenue'!AV124</f>
        <v>8.5022517756651101</v>
      </c>
      <c r="AV47" s="309">
        <f>$C47*'Beer Revenue'!AW124</f>
        <v>7.8094757050553589</v>
      </c>
      <c r="AW47" s="312">
        <f t="shared" si="20"/>
        <v>115.16614928352303</v>
      </c>
      <c r="AX47" s="309">
        <f>$D47*'Beer Revenue'!AY124</f>
        <v>6.2729613600857164</v>
      </c>
      <c r="AY47" s="309">
        <f>$D47*'Beer Revenue'!AZ124</f>
        <v>6.6692371449298413</v>
      </c>
      <c r="AZ47" s="309">
        <f>$D47*'Beer Revenue'!BA124</f>
        <v>9.4094420401285763</v>
      </c>
      <c r="BA47" s="309">
        <f>$D47*'Beer Revenue'!BB124</f>
        <v>11.12944757434563</v>
      </c>
      <c r="BB47" s="309">
        <f>$D47*'Beer Revenue'!BC124</f>
        <v>12.545922720171433</v>
      </c>
      <c r="BC47" s="309">
        <f>$D47*'Beer Revenue'!BD124</f>
        <v>11.12944757434563</v>
      </c>
      <c r="BD47" s="309">
        <f>$D47*'Beer Revenue'!BE124</f>
        <v>10.454935600142861</v>
      </c>
      <c r="BE47" s="309">
        <f>$D47*'Beer Revenue'!BF124</f>
        <v>13.068669500178579</v>
      </c>
      <c r="BF47" s="309">
        <f>$D47*'Beer Revenue'!BG124</f>
        <v>12.647099516301846</v>
      </c>
      <c r="BG47" s="309">
        <f>$D47*'Beer Revenue'!BH124</f>
        <v>12.545922720171433</v>
      </c>
      <c r="BH47" s="309">
        <f>$D47*'Beer Revenue'!BI124</f>
        <v>9.1059116517373333</v>
      </c>
      <c r="BI47" s="309">
        <f>$D47*'Beer Revenue'!BJ124</f>
        <v>8.3639484801142903</v>
      </c>
      <c r="BJ47" s="312">
        <f t="shared" si="21"/>
        <v>123.34294588265318</v>
      </c>
      <c r="BK47" s="309">
        <f>$E47*'Beer Revenue'!BL124</f>
        <v>6.7183416166518031</v>
      </c>
      <c r="BL47" s="309">
        <f>$E47*'Beer Revenue'!BM124</f>
        <v>7.1427529822198608</v>
      </c>
      <c r="BM47" s="309">
        <f>$E47*'Beer Revenue'!BN124</f>
        <v>10.077512424977709</v>
      </c>
      <c r="BN47" s="309">
        <f>$E47*'Beer Revenue'!BO124</f>
        <v>11.919638352124172</v>
      </c>
      <c r="BO47" s="309">
        <f>$E47*'Beer Revenue'!BP124</f>
        <v>13.436683233303606</v>
      </c>
      <c r="BP47" s="309">
        <f>$E47*'Beer Revenue'!BQ124</f>
        <v>11.919638352124172</v>
      </c>
      <c r="BQ47" s="309">
        <f>$E47*'Beer Revenue'!BR124</f>
        <v>11.197236027753004</v>
      </c>
      <c r="BR47" s="309">
        <f>$E47*'Beer Revenue'!BS124</f>
        <v>13.996545034691259</v>
      </c>
      <c r="BS47" s="309">
        <f>$E47*'Beer Revenue'!BT124</f>
        <v>13.545043581959279</v>
      </c>
      <c r="BT47" s="309">
        <f>$E47*'Beer Revenue'!BU124</f>
        <v>13.436683233303606</v>
      </c>
      <c r="BU47" s="309">
        <f>$E47*'Beer Revenue'!BV124</f>
        <v>9.7524313790106856</v>
      </c>
      <c r="BV47" s="309">
        <f>$E47*'Beer Revenue'!BW124</f>
        <v>8.9577888222024082</v>
      </c>
      <c r="BW47" s="312">
        <f t="shared" si="22"/>
        <v>132.10029504032156</v>
      </c>
    </row>
    <row r="48" spans="1:76" ht="15.75" customHeight="1">
      <c r="K48" s="256">
        <f>SUM(K44:K47)</f>
        <v>90.117091071428575</v>
      </c>
      <c r="L48" s="256">
        <f t="shared" ref="L48:W48" si="26">SUM(L44:L47)</f>
        <v>95.809971824596744</v>
      </c>
      <c r="M48" s="256">
        <f t="shared" si="26"/>
        <v>135.17563660714288</v>
      </c>
      <c r="N48" s="256">
        <f t="shared" si="26"/>
        <v>159.88516157834101</v>
      </c>
      <c r="O48" s="256">
        <f t="shared" si="26"/>
        <v>180.23418214285715</v>
      </c>
      <c r="P48" s="256">
        <f t="shared" si="26"/>
        <v>159.88516157834101</v>
      </c>
      <c r="Q48" s="256">
        <f t="shared" si="26"/>
        <v>150.19515178571427</v>
      </c>
      <c r="R48" s="256">
        <f t="shared" si="26"/>
        <v>187.74393973214285</v>
      </c>
      <c r="S48" s="256">
        <f t="shared" si="26"/>
        <v>181.68768361175114</v>
      </c>
      <c r="T48" s="256">
        <f t="shared" si="26"/>
        <v>180.23418214285715</v>
      </c>
      <c r="U48" s="256">
        <f t="shared" si="26"/>
        <v>130.81513220046085</v>
      </c>
      <c r="V48" s="256">
        <f t="shared" si="26"/>
        <v>120.15612142857142</v>
      </c>
      <c r="W48" s="256">
        <f t="shared" si="26"/>
        <v>1771.9394157042052</v>
      </c>
      <c r="X48" s="256">
        <f>SUM(X44:X47)</f>
        <v>105.70734782678571</v>
      </c>
      <c r="Y48" s="256">
        <f t="shared" ref="Y48" si="27">SUM(Y44:Y47)</f>
        <v>112.38509695025201</v>
      </c>
      <c r="Z48" s="256">
        <f t="shared" ref="Z48" si="28">SUM(Z44:Z47)</f>
        <v>158.5610217401786</v>
      </c>
      <c r="AA48" s="256">
        <f t="shared" ref="AA48" si="29">SUM(AA44:AA47)</f>
        <v>187.54529453139401</v>
      </c>
      <c r="AB48" s="256">
        <f t="shared" ref="AB48" si="30">SUM(AB44:AB47)</f>
        <v>211.41469565357141</v>
      </c>
      <c r="AC48" s="256">
        <f t="shared" ref="AC48" si="31">SUM(AC44:AC47)</f>
        <v>187.54529453139401</v>
      </c>
      <c r="AD48" s="256">
        <f t="shared" ref="AD48" si="32">SUM(AD44:AD47)</f>
        <v>176.17891304464288</v>
      </c>
      <c r="AE48" s="256">
        <f t="shared" ref="AE48" si="33">SUM(AE44:AE47)</f>
        <v>220.22364130580354</v>
      </c>
      <c r="AF48" s="256">
        <f t="shared" ref="AF48" si="34">SUM(AF44:AF47)</f>
        <v>213.11965287658404</v>
      </c>
      <c r="AG48" s="256">
        <f t="shared" ref="AG48" si="35">SUM(AG44:AG47)</f>
        <v>211.41469565357141</v>
      </c>
      <c r="AH48" s="256">
        <f t="shared" ref="AH48" si="36">SUM(AH44:AH47)</f>
        <v>153.44615007114058</v>
      </c>
      <c r="AI48" s="256">
        <f t="shared" ref="AI48" si="37">SUM(AI44:AI47)</f>
        <v>140.94313043571427</v>
      </c>
      <c r="AJ48" s="256">
        <f t="shared" ref="AJ48" si="38">SUM(AJ44:AJ47)</f>
        <v>2078.4849346210322</v>
      </c>
      <c r="AK48" s="256">
        <f t="shared" ref="AK48" si="39">SUM(AK44:AK47)</f>
        <v>118.60364426165356</v>
      </c>
      <c r="AL48" s="256">
        <f t="shared" ref="AL48" si="40">SUM(AL44:AL47)</f>
        <v>126.09607877818276</v>
      </c>
      <c r="AM48" s="256">
        <f t="shared" ref="AM48" si="41">SUM(AM44:AM47)</f>
        <v>177.90546639248041</v>
      </c>
      <c r="AN48" s="256">
        <f t="shared" ref="AN48" si="42">SUM(AN44:AN47)</f>
        <v>210.42582046422407</v>
      </c>
      <c r="AO48" s="256">
        <f t="shared" ref="AO48" si="43">SUM(AO44:AO47)</f>
        <v>237.20728852330711</v>
      </c>
      <c r="AP48" s="256">
        <f t="shared" ref="AP48" si="44">SUM(AP44:AP47)</f>
        <v>210.42582046422407</v>
      </c>
      <c r="AQ48" s="256">
        <f t="shared" ref="AQ48" si="45">SUM(AQ44:AQ47)</f>
        <v>197.6727404360893</v>
      </c>
      <c r="AR48" s="256">
        <f t="shared" ref="AR48" si="46">SUM(AR44:AR47)</f>
        <v>247.09092554511162</v>
      </c>
      <c r="AS48" s="256">
        <f t="shared" ref="AS48" si="47">SUM(AS44:AS47)</f>
        <v>239.12025052752739</v>
      </c>
      <c r="AT48" s="256">
        <f t="shared" ref="AT48" si="48">SUM(AT44:AT47)</f>
        <v>237.20728852330711</v>
      </c>
      <c r="AU48" s="256">
        <f t="shared" ref="AU48" si="49">SUM(AU44:AU47)</f>
        <v>172.16658037981972</v>
      </c>
      <c r="AV48" s="256">
        <f t="shared" ref="AV48:AW48" si="50">SUM(AV44:AV47)</f>
        <v>158.13819234887143</v>
      </c>
      <c r="AW48" s="256">
        <f t="shared" si="50"/>
        <v>2332.0600966447987</v>
      </c>
      <c r="AX48" s="256">
        <f t="shared" ref="AX48" si="51">SUM(AX44:AX47)</f>
        <v>127.02450300423099</v>
      </c>
      <c r="AY48" s="256">
        <f t="shared" ref="AY48" si="52">SUM(AY44:AY47)</f>
        <v>135.04890037143375</v>
      </c>
      <c r="AZ48" s="256">
        <f t="shared" ref="AZ48" si="53">SUM(AZ44:AZ47)</f>
        <v>190.53675450634651</v>
      </c>
      <c r="BA48" s="256">
        <f t="shared" ref="BA48" si="54">SUM(BA44:BA47)</f>
        <v>225.366053717184</v>
      </c>
      <c r="BB48" s="256">
        <f t="shared" ref="BB48" si="55">SUM(BB44:BB47)</f>
        <v>254.04900600846199</v>
      </c>
      <c r="BC48" s="256">
        <f t="shared" ref="BC48" si="56">SUM(BC44:BC47)</f>
        <v>225.366053717184</v>
      </c>
      <c r="BD48" s="256">
        <f t="shared" ref="BD48" si="57">SUM(BD44:BD47)</f>
        <v>211.70750500705168</v>
      </c>
      <c r="BE48" s="256">
        <f t="shared" ref="BE48" si="58">SUM(BE44:BE47)</f>
        <v>264.63438125881453</v>
      </c>
      <c r="BF48" s="256">
        <f t="shared" ref="BF48" si="59">SUM(BF44:BF47)</f>
        <v>256.09778831498187</v>
      </c>
      <c r="BG48" s="256">
        <f t="shared" ref="BG48" si="60">SUM(BG44:BG47)</f>
        <v>254.04900600846199</v>
      </c>
      <c r="BH48" s="256">
        <f t="shared" ref="BH48" si="61">SUM(BH44:BH47)</f>
        <v>184.39040758678695</v>
      </c>
      <c r="BI48" s="256">
        <f t="shared" ref="BI48" si="62">SUM(BI44:BI47)</f>
        <v>169.36600400564132</v>
      </c>
      <c r="BJ48" s="256">
        <f t="shared" ref="BJ48" si="63">SUM(BJ44:BJ47)</f>
        <v>2497.6363635065791</v>
      </c>
      <c r="BK48" s="256">
        <f t="shared" ref="BK48" si="64">SUM(BK44:BK47)</f>
        <v>136.04324271753143</v>
      </c>
      <c r="BL48" s="256">
        <f t="shared" ref="BL48" si="65">SUM(BL44:BL47)</f>
        <v>144.63737229780554</v>
      </c>
      <c r="BM48" s="256">
        <f t="shared" ref="BM48" si="66">SUM(BM44:BM47)</f>
        <v>204.06486407629711</v>
      </c>
      <c r="BN48" s="256">
        <f t="shared" ref="BN48" si="67">SUM(BN44:BN47)</f>
        <v>241.36704353110412</v>
      </c>
      <c r="BO48" s="256">
        <f t="shared" ref="BO48" si="68">SUM(BO44:BO47)</f>
        <v>272.08648543506285</v>
      </c>
      <c r="BP48" s="256">
        <f t="shared" ref="BP48" si="69">SUM(BP44:BP47)</f>
        <v>241.36704353110412</v>
      </c>
      <c r="BQ48" s="256">
        <f t="shared" ref="BQ48" si="70">SUM(BQ44:BQ47)</f>
        <v>226.73873786255237</v>
      </c>
      <c r="BR48" s="256">
        <f t="shared" ref="BR48" si="71">SUM(BR44:BR47)</f>
        <v>283.42342232819044</v>
      </c>
      <c r="BS48" s="256">
        <f t="shared" ref="BS48" si="72">SUM(BS44:BS47)</f>
        <v>274.28073128534561</v>
      </c>
      <c r="BT48" s="256">
        <f t="shared" ref="BT48" si="73">SUM(BT44:BT47)</f>
        <v>272.08648543506285</v>
      </c>
      <c r="BU48" s="256">
        <f t="shared" ref="BU48" si="74">SUM(BU44:BU47)</f>
        <v>197.48212652544888</v>
      </c>
      <c r="BV48" s="256">
        <f t="shared" ref="BV48" si="75">SUM(BV44:BV47)</f>
        <v>181.39099029004188</v>
      </c>
      <c r="BW48" s="256">
        <f t="shared" ref="BW48" si="76">SUM(BW44:BW47)</f>
        <v>2674.9685453155475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</sheetData>
  <sheetProtection sheet="1"/>
  <protectedRanges>
    <protectedRange sqref="A10:E23 B26:E39 B44:E47" name="Range1"/>
  </protectedRanges>
  <mergeCells count="1">
    <mergeCell ref="A7:E7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0519-DF51-443C-A217-F20E921A495C}">
  <dimension ref="A1:B10"/>
  <sheetViews>
    <sheetView workbookViewId="0">
      <selection activeCell="K21" sqref="K21"/>
    </sheetView>
  </sheetViews>
  <sheetFormatPr defaultRowHeight="14.5"/>
  <cols>
    <col min="1" max="1" width="16.1796875" bestFit="1" customWidth="1"/>
  </cols>
  <sheetData>
    <row r="1" spans="1:2">
      <c r="A1" s="268"/>
      <c r="B1" s="268" t="s">
        <v>524</v>
      </c>
    </row>
    <row r="2" spans="1:2">
      <c r="A2" s="268" t="s">
        <v>520</v>
      </c>
      <c r="B2" s="269">
        <v>0.25</v>
      </c>
    </row>
    <row r="3" spans="1:2">
      <c r="A3" s="268" t="s">
        <v>523</v>
      </c>
      <c r="B3" s="269">
        <v>0.09</v>
      </c>
    </row>
    <row r="4" spans="1:2">
      <c r="A4" s="268" t="s">
        <v>521</v>
      </c>
      <c r="B4" s="269">
        <v>0.19</v>
      </c>
    </row>
    <row r="5" spans="1:2">
      <c r="A5" s="268" t="s">
        <v>522</v>
      </c>
      <c r="B5" s="269">
        <v>0.14000000000000001</v>
      </c>
    </row>
    <row r="6" spans="1:2">
      <c r="A6" s="268" t="s">
        <v>422</v>
      </c>
      <c r="B6" s="269">
        <v>0.25</v>
      </c>
    </row>
    <row r="8" spans="1:2">
      <c r="A8" s="268" t="s">
        <v>527</v>
      </c>
      <c r="B8" s="256">
        <f>B9/6</f>
        <v>2.1516666666666668</v>
      </c>
    </row>
    <row r="9" spans="1:2">
      <c r="A9" s="268" t="s">
        <v>525</v>
      </c>
      <c r="B9" s="256">
        <f>(B2+B3+B5)*24+B4*6+B6</f>
        <v>12.91</v>
      </c>
    </row>
    <row r="10" spans="1:2">
      <c r="A10" s="268" t="s">
        <v>526</v>
      </c>
      <c r="B10" s="256">
        <f>B9*13.7777777777777</f>
        <v>177.87111111111011</v>
      </c>
    </row>
  </sheetData>
  <sheetProtection sheet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U1008"/>
  <sheetViews>
    <sheetView zoomScaleNormal="100" workbookViewId="0">
      <pane xSplit="7" ySplit="5" topLeftCell="AQ6" activePane="bottomRight" state="frozen"/>
      <selection pane="topRight" activeCell="H1" sqref="H1"/>
      <selection pane="bottomLeft" activeCell="A6" sqref="A6"/>
      <selection pane="bottomRight" activeCell="BJ13" sqref="BJ13"/>
    </sheetView>
  </sheetViews>
  <sheetFormatPr defaultColWidth="14.453125" defaultRowHeight="15" customHeight="1"/>
  <cols>
    <col min="1" max="1" width="8.7265625" customWidth="1"/>
    <col min="2" max="2" width="3.7265625" customWidth="1"/>
    <col min="3" max="3" width="24.453125" customWidth="1"/>
    <col min="4" max="5" width="8.7265625" customWidth="1"/>
    <col min="6" max="6" width="9.1796875" customWidth="1"/>
    <col min="7" max="7" width="2.7265625" customWidth="1"/>
    <col min="8" max="19" width="11.54296875" customWidth="1"/>
    <col min="20" max="20" width="12.54296875" customWidth="1"/>
    <col min="21" max="21" width="11.54296875" customWidth="1"/>
    <col min="22" max="32" width="9.54296875" customWidth="1"/>
    <col min="33" max="33" width="12.54296875" bestFit="1" customWidth="1"/>
    <col min="34" max="34" width="11.54296875" customWidth="1"/>
    <col min="35" max="45" width="9.54296875" customWidth="1"/>
    <col min="46" max="46" width="12.54296875" bestFit="1" customWidth="1"/>
    <col min="47" max="47" width="11.54296875" customWidth="1"/>
    <col min="48" max="59" width="9.54296875" customWidth="1"/>
    <col min="60" max="60" width="11.54296875" customWidth="1"/>
    <col min="61" max="72" width="9.54296875" customWidth="1"/>
    <col min="73" max="73" width="12.54296875" customWidth="1"/>
  </cols>
  <sheetData>
    <row r="1" spans="1:73" ht="14.5">
      <c r="A1" s="1" t="str">
        <f>Assumptions!A1</f>
        <v>Central Brewing Company</v>
      </c>
      <c r="B1" s="2"/>
      <c r="C1" s="2"/>
      <c r="D1" s="2"/>
      <c r="E1" s="2"/>
      <c r="F1" s="146"/>
      <c r="G1" s="14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</row>
    <row r="2" spans="1:73" ht="14.5">
      <c r="A2" s="2" t="s">
        <v>272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</row>
    <row r="3" spans="1:73" ht="15.75" customHeight="1">
      <c r="A3" s="6"/>
      <c r="B3" s="7"/>
      <c r="C3" s="7"/>
      <c r="D3" s="2"/>
      <c r="E3" s="2"/>
      <c r="F3" s="2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2"/>
    </row>
    <row r="4" spans="1:73" ht="14.5">
      <c r="A4" s="11"/>
      <c r="B4" s="11"/>
      <c r="C4" s="11"/>
      <c r="D4" s="375" t="s">
        <v>273</v>
      </c>
      <c r="E4" s="372"/>
      <c r="F4" s="372"/>
      <c r="G4" s="11"/>
      <c r="H4" s="31"/>
      <c r="I4" s="32"/>
      <c r="J4" s="32"/>
      <c r="K4" s="32"/>
      <c r="L4" s="32"/>
      <c r="M4" s="32"/>
      <c r="N4" s="33" t="s">
        <v>98</v>
      </c>
      <c r="O4" s="32"/>
      <c r="P4" s="32"/>
      <c r="Q4" s="32"/>
      <c r="R4" s="32"/>
      <c r="S4" s="32"/>
      <c r="T4" s="34"/>
      <c r="U4" s="31"/>
      <c r="V4" s="32"/>
      <c r="W4" s="32"/>
      <c r="X4" s="32"/>
      <c r="Y4" s="32"/>
      <c r="Z4" s="32"/>
      <c r="AA4" s="33" t="s">
        <v>99</v>
      </c>
      <c r="AB4" s="32"/>
      <c r="AC4" s="32"/>
      <c r="AD4" s="32"/>
      <c r="AE4" s="32"/>
      <c r="AF4" s="32"/>
      <c r="AG4" s="34"/>
      <c r="AH4" s="31"/>
      <c r="AI4" s="32"/>
      <c r="AJ4" s="32"/>
      <c r="AK4" s="32"/>
      <c r="AL4" s="32"/>
      <c r="AM4" s="32"/>
      <c r="AN4" s="33" t="s">
        <v>100</v>
      </c>
      <c r="AO4" s="32"/>
      <c r="AP4" s="32"/>
      <c r="AQ4" s="32"/>
      <c r="AR4" s="32"/>
      <c r="AS4" s="32"/>
      <c r="AT4" s="34"/>
      <c r="AU4" s="31"/>
      <c r="AV4" s="32"/>
      <c r="AW4" s="32"/>
      <c r="AX4" s="32"/>
      <c r="AY4" s="32"/>
      <c r="AZ4" s="32"/>
      <c r="BA4" s="33" t="s">
        <v>101</v>
      </c>
      <c r="BB4" s="32"/>
      <c r="BC4" s="32"/>
      <c r="BD4" s="32"/>
      <c r="BE4" s="32"/>
      <c r="BF4" s="32"/>
      <c r="BG4" s="34"/>
      <c r="BH4" s="31"/>
      <c r="BI4" s="32"/>
      <c r="BJ4" s="32"/>
      <c r="BK4" s="32"/>
      <c r="BL4" s="32"/>
      <c r="BM4" s="32"/>
      <c r="BN4" s="33" t="s">
        <v>102</v>
      </c>
      <c r="BO4" s="32"/>
      <c r="BP4" s="32"/>
      <c r="BQ4" s="32"/>
      <c r="BR4" s="32"/>
      <c r="BS4" s="32"/>
      <c r="BT4" s="34"/>
      <c r="BU4" s="2"/>
    </row>
    <row r="5" spans="1:73" ht="30" customHeight="1">
      <c r="A5" s="1"/>
      <c r="B5" s="1"/>
      <c r="C5" s="1"/>
      <c r="D5" s="36" t="s">
        <v>274</v>
      </c>
      <c r="E5" s="121" t="s">
        <v>275</v>
      </c>
      <c r="F5" s="36" t="s">
        <v>220</v>
      </c>
      <c r="G5" s="1"/>
      <c r="H5" s="35" t="str">
        <f>SOFP!F5</f>
        <v>Jan</v>
      </c>
      <c r="I5" s="35" t="str">
        <f>SOFP!G5</f>
        <v>Feb</v>
      </c>
      <c r="J5" s="35" t="str">
        <f>SOFP!H5</f>
        <v>Mar</v>
      </c>
      <c r="K5" s="35" t="str">
        <f>SOFP!I5</f>
        <v>Apr</v>
      </c>
      <c r="L5" s="35" t="str">
        <f>SOFP!J5</f>
        <v>May</v>
      </c>
      <c r="M5" s="35" t="str">
        <f>SOFP!K5</f>
        <v>Jun</v>
      </c>
      <c r="N5" s="35" t="str">
        <f>SOFP!L5</f>
        <v>Jul</v>
      </c>
      <c r="O5" s="35" t="str">
        <f>SOFP!M5</f>
        <v>Aug</v>
      </c>
      <c r="P5" s="35" t="str">
        <f>SOFP!N5</f>
        <v>Sep</v>
      </c>
      <c r="Q5" s="35" t="str">
        <f>SOFP!O5</f>
        <v>Oct</v>
      </c>
      <c r="R5" s="35" t="str">
        <f>SOFP!P5</f>
        <v>Nov</v>
      </c>
      <c r="S5" s="35" t="str">
        <f>SOFP!Q5</f>
        <v>Dec</v>
      </c>
      <c r="T5" s="36" t="s">
        <v>116</v>
      </c>
      <c r="U5" s="35" t="str">
        <f t="shared" ref="U5:AF5" si="0">H5</f>
        <v>Jan</v>
      </c>
      <c r="V5" s="35" t="str">
        <f t="shared" si="0"/>
        <v>Feb</v>
      </c>
      <c r="W5" s="35" t="str">
        <f t="shared" si="0"/>
        <v>Mar</v>
      </c>
      <c r="X5" s="35" t="str">
        <f t="shared" si="0"/>
        <v>Apr</v>
      </c>
      <c r="Y5" s="35" t="str">
        <f t="shared" si="0"/>
        <v>May</v>
      </c>
      <c r="Z5" s="35" t="str">
        <f t="shared" si="0"/>
        <v>Jun</v>
      </c>
      <c r="AA5" s="35" t="str">
        <f t="shared" si="0"/>
        <v>Jul</v>
      </c>
      <c r="AB5" s="35" t="str">
        <f t="shared" si="0"/>
        <v>Aug</v>
      </c>
      <c r="AC5" s="35" t="str">
        <f t="shared" si="0"/>
        <v>Sep</v>
      </c>
      <c r="AD5" s="35" t="str">
        <f t="shared" si="0"/>
        <v>Oct</v>
      </c>
      <c r="AE5" s="35" t="str">
        <f t="shared" si="0"/>
        <v>Nov</v>
      </c>
      <c r="AF5" s="35" t="str">
        <f t="shared" si="0"/>
        <v>Dec</v>
      </c>
      <c r="AG5" s="36" t="s">
        <v>116</v>
      </c>
      <c r="AH5" s="35" t="str">
        <f t="shared" ref="AH5:AS5" si="1">U5</f>
        <v>Jan</v>
      </c>
      <c r="AI5" s="35" t="str">
        <f t="shared" si="1"/>
        <v>Feb</v>
      </c>
      <c r="AJ5" s="35" t="str">
        <f t="shared" si="1"/>
        <v>Mar</v>
      </c>
      <c r="AK5" s="35" t="str">
        <f t="shared" si="1"/>
        <v>Apr</v>
      </c>
      <c r="AL5" s="35" t="str">
        <f t="shared" si="1"/>
        <v>May</v>
      </c>
      <c r="AM5" s="35" t="str">
        <f t="shared" si="1"/>
        <v>Jun</v>
      </c>
      <c r="AN5" s="35" t="str">
        <f t="shared" si="1"/>
        <v>Jul</v>
      </c>
      <c r="AO5" s="35" t="str">
        <f t="shared" si="1"/>
        <v>Aug</v>
      </c>
      <c r="AP5" s="35" t="str">
        <f t="shared" si="1"/>
        <v>Sep</v>
      </c>
      <c r="AQ5" s="35" t="str">
        <f t="shared" si="1"/>
        <v>Oct</v>
      </c>
      <c r="AR5" s="35" t="str">
        <f t="shared" si="1"/>
        <v>Nov</v>
      </c>
      <c r="AS5" s="35" t="str">
        <f t="shared" si="1"/>
        <v>Dec</v>
      </c>
      <c r="AT5" s="36" t="s">
        <v>116</v>
      </c>
      <c r="AU5" s="35" t="str">
        <f t="shared" ref="AU5:BF5" si="2">AH5</f>
        <v>Jan</v>
      </c>
      <c r="AV5" s="35" t="str">
        <f t="shared" si="2"/>
        <v>Feb</v>
      </c>
      <c r="AW5" s="35" t="str">
        <f t="shared" si="2"/>
        <v>Mar</v>
      </c>
      <c r="AX5" s="35" t="str">
        <f t="shared" si="2"/>
        <v>Apr</v>
      </c>
      <c r="AY5" s="35" t="str">
        <f t="shared" si="2"/>
        <v>May</v>
      </c>
      <c r="AZ5" s="35" t="str">
        <f t="shared" si="2"/>
        <v>Jun</v>
      </c>
      <c r="BA5" s="35" t="str">
        <f t="shared" si="2"/>
        <v>Jul</v>
      </c>
      <c r="BB5" s="35" t="str">
        <f t="shared" si="2"/>
        <v>Aug</v>
      </c>
      <c r="BC5" s="35" t="str">
        <f t="shared" si="2"/>
        <v>Sep</v>
      </c>
      <c r="BD5" s="35" t="str">
        <f t="shared" si="2"/>
        <v>Oct</v>
      </c>
      <c r="BE5" s="35" t="str">
        <f t="shared" si="2"/>
        <v>Nov</v>
      </c>
      <c r="BF5" s="35" t="str">
        <f t="shared" si="2"/>
        <v>Dec</v>
      </c>
      <c r="BG5" s="36" t="s">
        <v>116</v>
      </c>
      <c r="BH5" s="35" t="str">
        <f t="shared" ref="BH5:BS5" si="3">AU5</f>
        <v>Jan</v>
      </c>
      <c r="BI5" s="35" t="str">
        <f t="shared" si="3"/>
        <v>Feb</v>
      </c>
      <c r="BJ5" s="35" t="str">
        <f t="shared" si="3"/>
        <v>Mar</v>
      </c>
      <c r="BK5" s="35" t="str">
        <f t="shared" si="3"/>
        <v>Apr</v>
      </c>
      <c r="BL5" s="35" t="str">
        <f t="shared" si="3"/>
        <v>May</v>
      </c>
      <c r="BM5" s="35" t="str">
        <f t="shared" si="3"/>
        <v>Jun</v>
      </c>
      <c r="BN5" s="35" t="str">
        <f t="shared" si="3"/>
        <v>Jul</v>
      </c>
      <c r="BO5" s="35" t="str">
        <f t="shared" si="3"/>
        <v>Aug</v>
      </c>
      <c r="BP5" s="35" t="str">
        <f t="shared" si="3"/>
        <v>Sep</v>
      </c>
      <c r="BQ5" s="35" t="str">
        <f t="shared" si="3"/>
        <v>Oct</v>
      </c>
      <c r="BR5" s="35" t="str">
        <f t="shared" si="3"/>
        <v>Nov</v>
      </c>
      <c r="BS5" s="35" t="str">
        <f t="shared" si="3"/>
        <v>Dec</v>
      </c>
      <c r="BT5" s="36" t="s">
        <v>116</v>
      </c>
      <c r="BU5" s="36" t="s">
        <v>117</v>
      </c>
    </row>
    <row r="6" spans="1:73" ht="14.5">
      <c r="B6" s="2" t="s">
        <v>276</v>
      </c>
      <c r="C6" s="2"/>
      <c r="D6" s="2"/>
      <c r="E6" s="319">
        <v>0.25</v>
      </c>
      <c r="F6" s="146"/>
      <c r="G6" s="146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</row>
    <row r="7" spans="1:73" ht="14.5">
      <c r="B7" s="2"/>
      <c r="C7" s="147" t="s">
        <v>535</v>
      </c>
      <c r="D7" s="320">
        <v>50000</v>
      </c>
      <c r="E7" s="3">
        <f>E$6*$D7</f>
        <v>12500</v>
      </c>
      <c r="F7" s="148">
        <f>SUM(D7:E7)</f>
        <v>62500</v>
      </c>
      <c r="G7" s="149"/>
      <c r="H7" s="3">
        <f t="shared" ref="H7:S7" si="4">ROUND(($F7/12)*H8,0)</f>
        <v>5208</v>
      </c>
      <c r="I7" s="3">
        <f t="shared" si="4"/>
        <v>5208</v>
      </c>
      <c r="J7" s="3">
        <f t="shared" si="4"/>
        <v>5208</v>
      </c>
      <c r="K7" s="3">
        <f t="shared" si="4"/>
        <v>5208</v>
      </c>
      <c r="L7" s="3">
        <f t="shared" si="4"/>
        <v>5208</v>
      </c>
      <c r="M7" s="3">
        <f t="shared" si="4"/>
        <v>5208</v>
      </c>
      <c r="N7" s="3">
        <f t="shared" si="4"/>
        <v>5208</v>
      </c>
      <c r="O7" s="3">
        <f t="shared" si="4"/>
        <v>5208</v>
      </c>
      <c r="P7" s="3">
        <f t="shared" si="4"/>
        <v>5208</v>
      </c>
      <c r="Q7" s="3">
        <f t="shared" si="4"/>
        <v>5208</v>
      </c>
      <c r="R7" s="3">
        <f t="shared" si="4"/>
        <v>5208</v>
      </c>
      <c r="S7" s="3">
        <f t="shared" si="4"/>
        <v>5208</v>
      </c>
      <c r="T7" s="3">
        <f>SUM(H7:S7)</f>
        <v>62496</v>
      </c>
      <c r="U7" s="3">
        <f>ROUND(($F7/12)*U8,0)</f>
        <v>5208</v>
      </c>
      <c r="V7" s="3">
        <f t="shared" ref="V7:AF7" si="5">ROUND(($F7/12)*V8,0)</f>
        <v>5208</v>
      </c>
      <c r="W7" s="3">
        <f t="shared" si="5"/>
        <v>5208</v>
      </c>
      <c r="X7" s="3">
        <f t="shared" si="5"/>
        <v>5208</v>
      </c>
      <c r="Y7" s="3">
        <f t="shared" si="5"/>
        <v>5208</v>
      </c>
      <c r="Z7" s="3">
        <f t="shared" si="5"/>
        <v>5208</v>
      </c>
      <c r="AA7" s="3">
        <f t="shared" si="5"/>
        <v>5208</v>
      </c>
      <c r="AB7" s="3">
        <f t="shared" si="5"/>
        <v>5208</v>
      </c>
      <c r="AC7" s="3">
        <f t="shared" si="5"/>
        <v>5208</v>
      </c>
      <c r="AD7" s="3">
        <f t="shared" si="5"/>
        <v>5208</v>
      </c>
      <c r="AE7" s="3">
        <f t="shared" si="5"/>
        <v>5208</v>
      </c>
      <c r="AF7" s="3">
        <f t="shared" si="5"/>
        <v>5208</v>
      </c>
      <c r="AG7" s="3">
        <f>SUM(U7:AF7)</f>
        <v>62496</v>
      </c>
      <c r="AH7" s="3">
        <f t="shared" ref="AH7:AS7" si="6">ROUND(($F7/12)*AH8,0)</f>
        <v>5208</v>
      </c>
      <c r="AI7" s="3">
        <f t="shared" si="6"/>
        <v>5208</v>
      </c>
      <c r="AJ7" s="3">
        <f t="shared" si="6"/>
        <v>5208</v>
      </c>
      <c r="AK7" s="3">
        <f t="shared" si="6"/>
        <v>5208</v>
      </c>
      <c r="AL7" s="3">
        <f t="shared" si="6"/>
        <v>5208</v>
      </c>
      <c r="AM7" s="3">
        <f t="shared" si="6"/>
        <v>5208</v>
      </c>
      <c r="AN7" s="3">
        <f t="shared" si="6"/>
        <v>5208</v>
      </c>
      <c r="AO7" s="3">
        <f t="shared" si="6"/>
        <v>5208</v>
      </c>
      <c r="AP7" s="3">
        <f t="shared" si="6"/>
        <v>5208</v>
      </c>
      <c r="AQ7" s="3">
        <f t="shared" si="6"/>
        <v>5208</v>
      </c>
      <c r="AR7" s="3">
        <f t="shared" si="6"/>
        <v>5208</v>
      </c>
      <c r="AS7" s="3">
        <f t="shared" si="6"/>
        <v>5208</v>
      </c>
      <c r="AT7" s="3">
        <f>SUM(AH7:AS7)</f>
        <v>62496</v>
      </c>
      <c r="AU7" s="3">
        <f t="shared" ref="AU7:BF7" si="7">ROUND(($F7/12)*AU8,0)</f>
        <v>5208</v>
      </c>
      <c r="AV7" s="3">
        <f t="shared" si="7"/>
        <v>5208</v>
      </c>
      <c r="AW7" s="3">
        <f t="shared" si="7"/>
        <v>5208</v>
      </c>
      <c r="AX7" s="3">
        <f t="shared" si="7"/>
        <v>5208</v>
      </c>
      <c r="AY7" s="3">
        <f t="shared" si="7"/>
        <v>5208</v>
      </c>
      <c r="AZ7" s="3">
        <f t="shared" si="7"/>
        <v>5208</v>
      </c>
      <c r="BA7" s="3">
        <f t="shared" si="7"/>
        <v>5208</v>
      </c>
      <c r="BB7" s="3">
        <f t="shared" si="7"/>
        <v>5208</v>
      </c>
      <c r="BC7" s="3">
        <f t="shared" si="7"/>
        <v>5208</v>
      </c>
      <c r="BD7" s="3">
        <f t="shared" si="7"/>
        <v>5208</v>
      </c>
      <c r="BE7" s="3">
        <f t="shared" si="7"/>
        <v>5208</v>
      </c>
      <c r="BF7" s="3">
        <f t="shared" si="7"/>
        <v>5208</v>
      </c>
      <c r="BG7" s="3">
        <f>SUM(AU7:BF7)</f>
        <v>62496</v>
      </c>
      <c r="BH7" s="3">
        <f t="shared" ref="BH7:BS7" si="8">ROUND(($F7/12)*BH8,0)</f>
        <v>5208</v>
      </c>
      <c r="BI7" s="3">
        <f t="shared" si="8"/>
        <v>5208</v>
      </c>
      <c r="BJ7" s="3">
        <f t="shared" si="8"/>
        <v>5208</v>
      </c>
      <c r="BK7" s="3">
        <f t="shared" si="8"/>
        <v>5208</v>
      </c>
      <c r="BL7" s="3">
        <f t="shared" si="8"/>
        <v>5208</v>
      </c>
      <c r="BM7" s="3">
        <f t="shared" si="8"/>
        <v>5208</v>
      </c>
      <c r="BN7" s="3">
        <f t="shared" si="8"/>
        <v>5208</v>
      </c>
      <c r="BO7" s="3">
        <f t="shared" si="8"/>
        <v>5208</v>
      </c>
      <c r="BP7" s="3">
        <f t="shared" si="8"/>
        <v>5208</v>
      </c>
      <c r="BQ7" s="3">
        <f t="shared" si="8"/>
        <v>5208</v>
      </c>
      <c r="BR7" s="3">
        <f t="shared" si="8"/>
        <v>5208</v>
      </c>
      <c r="BS7" s="3">
        <f t="shared" si="8"/>
        <v>5208</v>
      </c>
      <c r="BT7" s="3">
        <f>SUM(BH7:BS7)</f>
        <v>62496</v>
      </c>
      <c r="BU7" s="3">
        <f>T7+AG7+AT7+BG7+BT7</f>
        <v>312480</v>
      </c>
    </row>
    <row r="8" spans="1:73" ht="14.5">
      <c r="A8" s="2"/>
      <c r="B8" s="2"/>
      <c r="C8" s="2"/>
      <c r="D8" s="38"/>
      <c r="E8" s="2"/>
      <c r="F8" s="149"/>
      <c r="G8" s="149"/>
      <c r="H8" s="319">
        <v>1</v>
      </c>
      <c r="I8" s="60">
        <f t="shared" ref="I8:S8" si="9">H8</f>
        <v>1</v>
      </c>
      <c r="J8" s="60">
        <f t="shared" si="9"/>
        <v>1</v>
      </c>
      <c r="K8" s="60">
        <f t="shared" si="9"/>
        <v>1</v>
      </c>
      <c r="L8" s="60">
        <f t="shared" si="9"/>
        <v>1</v>
      </c>
      <c r="M8" s="60">
        <f t="shared" si="9"/>
        <v>1</v>
      </c>
      <c r="N8" s="60">
        <f t="shared" si="9"/>
        <v>1</v>
      </c>
      <c r="O8" s="60">
        <f t="shared" si="9"/>
        <v>1</v>
      </c>
      <c r="P8" s="60">
        <f t="shared" si="9"/>
        <v>1</v>
      </c>
      <c r="Q8" s="60">
        <f t="shared" si="9"/>
        <v>1</v>
      </c>
      <c r="R8" s="60">
        <f t="shared" si="9"/>
        <v>1</v>
      </c>
      <c r="S8" s="60">
        <f t="shared" si="9"/>
        <v>1</v>
      </c>
      <c r="T8" s="60"/>
      <c r="U8" s="319">
        <v>1</v>
      </c>
      <c r="V8" s="60">
        <f t="shared" ref="V8:AF8" si="10">U8</f>
        <v>1</v>
      </c>
      <c r="W8" s="60">
        <f t="shared" si="10"/>
        <v>1</v>
      </c>
      <c r="X8" s="60">
        <f t="shared" si="10"/>
        <v>1</v>
      </c>
      <c r="Y8" s="60">
        <f t="shared" si="10"/>
        <v>1</v>
      </c>
      <c r="Z8" s="60">
        <f t="shared" si="10"/>
        <v>1</v>
      </c>
      <c r="AA8" s="60">
        <f t="shared" si="10"/>
        <v>1</v>
      </c>
      <c r="AB8" s="60">
        <f t="shared" si="10"/>
        <v>1</v>
      </c>
      <c r="AC8" s="60">
        <f t="shared" si="10"/>
        <v>1</v>
      </c>
      <c r="AD8" s="60">
        <f t="shared" si="10"/>
        <v>1</v>
      </c>
      <c r="AE8" s="60">
        <f t="shared" si="10"/>
        <v>1</v>
      </c>
      <c r="AF8" s="60">
        <f t="shared" si="10"/>
        <v>1</v>
      </c>
      <c r="AG8" s="60"/>
      <c r="AH8" s="319">
        <v>1</v>
      </c>
      <c r="AI8" s="60">
        <f t="shared" ref="AI8:AS8" si="11">AH8</f>
        <v>1</v>
      </c>
      <c r="AJ8" s="60">
        <f t="shared" si="11"/>
        <v>1</v>
      </c>
      <c r="AK8" s="60">
        <f t="shared" si="11"/>
        <v>1</v>
      </c>
      <c r="AL8" s="60">
        <f t="shared" si="11"/>
        <v>1</v>
      </c>
      <c r="AM8" s="60">
        <f t="shared" si="11"/>
        <v>1</v>
      </c>
      <c r="AN8" s="60">
        <f t="shared" si="11"/>
        <v>1</v>
      </c>
      <c r="AO8" s="60">
        <f t="shared" si="11"/>
        <v>1</v>
      </c>
      <c r="AP8" s="60">
        <f t="shared" si="11"/>
        <v>1</v>
      </c>
      <c r="AQ8" s="60">
        <f t="shared" si="11"/>
        <v>1</v>
      </c>
      <c r="AR8" s="60">
        <f t="shared" si="11"/>
        <v>1</v>
      </c>
      <c r="AS8" s="60">
        <f t="shared" si="11"/>
        <v>1</v>
      </c>
      <c r="AT8" s="60"/>
      <c r="AU8" s="319">
        <v>1</v>
      </c>
      <c r="AV8" s="60">
        <f t="shared" ref="AV8:BF8" si="12">AU8</f>
        <v>1</v>
      </c>
      <c r="AW8" s="60">
        <f t="shared" si="12"/>
        <v>1</v>
      </c>
      <c r="AX8" s="60">
        <f t="shared" si="12"/>
        <v>1</v>
      </c>
      <c r="AY8" s="60">
        <f t="shared" si="12"/>
        <v>1</v>
      </c>
      <c r="AZ8" s="60">
        <f t="shared" si="12"/>
        <v>1</v>
      </c>
      <c r="BA8" s="60">
        <f t="shared" si="12"/>
        <v>1</v>
      </c>
      <c r="BB8" s="60">
        <f t="shared" si="12"/>
        <v>1</v>
      </c>
      <c r="BC8" s="60">
        <f t="shared" si="12"/>
        <v>1</v>
      </c>
      <c r="BD8" s="60">
        <f t="shared" si="12"/>
        <v>1</v>
      </c>
      <c r="BE8" s="60">
        <f t="shared" si="12"/>
        <v>1</v>
      </c>
      <c r="BF8" s="60">
        <f t="shared" si="12"/>
        <v>1</v>
      </c>
      <c r="BG8" s="60"/>
      <c r="BH8" s="319">
        <v>1</v>
      </c>
      <c r="BI8" s="60">
        <f t="shared" ref="BI8:BS8" si="13">BH8</f>
        <v>1</v>
      </c>
      <c r="BJ8" s="60">
        <f t="shared" si="13"/>
        <v>1</v>
      </c>
      <c r="BK8" s="60">
        <f t="shared" si="13"/>
        <v>1</v>
      </c>
      <c r="BL8" s="60">
        <f t="shared" si="13"/>
        <v>1</v>
      </c>
      <c r="BM8" s="60">
        <f t="shared" si="13"/>
        <v>1</v>
      </c>
      <c r="BN8" s="60">
        <f t="shared" si="13"/>
        <v>1</v>
      </c>
      <c r="BO8" s="60">
        <f t="shared" si="13"/>
        <v>1</v>
      </c>
      <c r="BP8" s="60">
        <f t="shared" si="13"/>
        <v>1</v>
      </c>
      <c r="BQ8" s="60">
        <f t="shared" si="13"/>
        <v>1</v>
      </c>
      <c r="BR8" s="60">
        <f t="shared" si="13"/>
        <v>1</v>
      </c>
      <c r="BS8" s="60">
        <f t="shared" si="13"/>
        <v>1</v>
      </c>
      <c r="BT8" s="60"/>
      <c r="BU8" s="60"/>
    </row>
    <row r="9" spans="1:73" ht="14.5">
      <c r="B9" s="2"/>
      <c r="C9" s="147" t="s">
        <v>538</v>
      </c>
      <c r="D9" s="320">
        <v>35000</v>
      </c>
      <c r="E9" s="3">
        <f>E$6*$D9</f>
        <v>8750</v>
      </c>
      <c r="F9" s="148">
        <f>SUM(D9:E9)</f>
        <v>43750</v>
      </c>
      <c r="G9" s="60"/>
      <c r="H9" s="3">
        <f t="shared" ref="H9:S9" si="14">ROUND(($F9/12)*H10,0)</f>
        <v>911</v>
      </c>
      <c r="I9" s="3">
        <f t="shared" si="14"/>
        <v>911</v>
      </c>
      <c r="J9" s="3">
        <f t="shared" si="14"/>
        <v>911</v>
      </c>
      <c r="K9" s="3">
        <f t="shared" si="14"/>
        <v>911</v>
      </c>
      <c r="L9" s="3">
        <f t="shared" si="14"/>
        <v>911</v>
      </c>
      <c r="M9" s="3">
        <f t="shared" si="14"/>
        <v>911</v>
      </c>
      <c r="N9" s="3">
        <f t="shared" si="14"/>
        <v>911</v>
      </c>
      <c r="O9" s="3">
        <f t="shared" si="14"/>
        <v>911</v>
      </c>
      <c r="P9" s="3">
        <f t="shared" si="14"/>
        <v>911</v>
      </c>
      <c r="Q9" s="3">
        <f t="shared" si="14"/>
        <v>911</v>
      </c>
      <c r="R9" s="3">
        <f t="shared" si="14"/>
        <v>911</v>
      </c>
      <c r="S9" s="3">
        <f t="shared" si="14"/>
        <v>911</v>
      </c>
      <c r="T9" s="3">
        <f>SUM(H9:S9)</f>
        <v>10932</v>
      </c>
      <c r="U9" s="3">
        <f t="shared" ref="U9:AF9" si="15">ROUND(($F9/12)*U10,0)</f>
        <v>1094</v>
      </c>
      <c r="V9" s="3">
        <f t="shared" si="15"/>
        <v>1094</v>
      </c>
      <c r="W9" s="3">
        <f t="shared" si="15"/>
        <v>1094</v>
      </c>
      <c r="X9" s="3">
        <f t="shared" si="15"/>
        <v>1094</v>
      </c>
      <c r="Y9" s="3">
        <f t="shared" si="15"/>
        <v>1094</v>
      </c>
      <c r="Z9" s="3">
        <f t="shared" si="15"/>
        <v>1094</v>
      </c>
      <c r="AA9" s="3">
        <f t="shared" si="15"/>
        <v>1094</v>
      </c>
      <c r="AB9" s="3">
        <f t="shared" si="15"/>
        <v>1094</v>
      </c>
      <c r="AC9" s="3">
        <f t="shared" si="15"/>
        <v>1094</v>
      </c>
      <c r="AD9" s="3">
        <f t="shared" si="15"/>
        <v>1094</v>
      </c>
      <c r="AE9" s="3">
        <f t="shared" si="15"/>
        <v>1094</v>
      </c>
      <c r="AF9" s="3">
        <f t="shared" si="15"/>
        <v>1094</v>
      </c>
      <c r="AG9" s="3">
        <f>SUM(U9:AF9)</f>
        <v>13128</v>
      </c>
      <c r="AH9" s="3">
        <f t="shared" ref="AH9:AS9" si="16">ROUND(($F9/12)*AH10,0)</f>
        <v>1823</v>
      </c>
      <c r="AI9" s="3">
        <f t="shared" si="16"/>
        <v>1823</v>
      </c>
      <c r="AJ9" s="3">
        <f t="shared" si="16"/>
        <v>1823</v>
      </c>
      <c r="AK9" s="3">
        <f t="shared" si="16"/>
        <v>1823</v>
      </c>
      <c r="AL9" s="3">
        <f t="shared" si="16"/>
        <v>1823</v>
      </c>
      <c r="AM9" s="3">
        <f t="shared" si="16"/>
        <v>1823</v>
      </c>
      <c r="AN9" s="3">
        <f t="shared" si="16"/>
        <v>1823</v>
      </c>
      <c r="AO9" s="3">
        <f t="shared" si="16"/>
        <v>1823</v>
      </c>
      <c r="AP9" s="3">
        <f t="shared" si="16"/>
        <v>1823</v>
      </c>
      <c r="AQ9" s="3">
        <f t="shared" si="16"/>
        <v>1823</v>
      </c>
      <c r="AR9" s="3">
        <f t="shared" si="16"/>
        <v>1823</v>
      </c>
      <c r="AS9" s="3">
        <f t="shared" si="16"/>
        <v>1823</v>
      </c>
      <c r="AT9" s="3">
        <f>SUM(AH9:AS9)</f>
        <v>21876</v>
      </c>
      <c r="AU9" s="3">
        <f t="shared" ref="AU9:BF9" si="17">ROUND(($F9/12)*AU10,0)</f>
        <v>2188</v>
      </c>
      <c r="AV9" s="3">
        <f t="shared" si="17"/>
        <v>2188</v>
      </c>
      <c r="AW9" s="3">
        <f t="shared" si="17"/>
        <v>2188</v>
      </c>
      <c r="AX9" s="3">
        <f t="shared" si="17"/>
        <v>2188</v>
      </c>
      <c r="AY9" s="3">
        <f t="shared" si="17"/>
        <v>2188</v>
      </c>
      <c r="AZ9" s="3">
        <f t="shared" si="17"/>
        <v>2188</v>
      </c>
      <c r="BA9" s="3">
        <f t="shared" si="17"/>
        <v>2188</v>
      </c>
      <c r="BB9" s="3">
        <f t="shared" si="17"/>
        <v>2188</v>
      </c>
      <c r="BC9" s="3">
        <f t="shared" si="17"/>
        <v>2188</v>
      </c>
      <c r="BD9" s="3">
        <f t="shared" si="17"/>
        <v>2188</v>
      </c>
      <c r="BE9" s="3">
        <f t="shared" si="17"/>
        <v>2188</v>
      </c>
      <c r="BF9" s="3">
        <f t="shared" si="17"/>
        <v>2188</v>
      </c>
      <c r="BG9" s="3">
        <f>SUM(AU9:BF9)</f>
        <v>26256</v>
      </c>
      <c r="BH9" s="3">
        <f t="shared" ref="BH9:BS9" si="18">ROUND(($F9/12)*BH10,0)</f>
        <v>2917</v>
      </c>
      <c r="BI9" s="3">
        <f t="shared" si="18"/>
        <v>2917</v>
      </c>
      <c r="BJ9" s="3">
        <f t="shared" si="18"/>
        <v>2917</v>
      </c>
      <c r="BK9" s="3">
        <f t="shared" si="18"/>
        <v>2917</v>
      </c>
      <c r="BL9" s="3">
        <f t="shared" si="18"/>
        <v>2917</v>
      </c>
      <c r="BM9" s="3">
        <f t="shared" si="18"/>
        <v>2917</v>
      </c>
      <c r="BN9" s="3">
        <f t="shared" si="18"/>
        <v>2917</v>
      </c>
      <c r="BO9" s="3">
        <f t="shared" si="18"/>
        <v>2917</v>
      </c>
      <c r="BP9" s="3">
        <f t="shared" si="18"/>
        <v>2917</v>
      </c>
      <c r="BQ9" s="3">
        <f t="shared" si="18"/>
        <v>2917</v>
      </c>
      <c r="BR9" s="3">
        <f t="shared" si="18"/>
        <v>2917</v>
      </c>
      <c r="BS9" s="3">
        <f t="shared" si="18"/>
        <v>2917</v>
      </c>
      <c r="BT9" s="3">
        <f>SUM(BH9:BS9)</f>
        <v>35004</v>
      </c>
      <c r="BU9" s="3">
        <f>T9+AG9+AT9+BG9+BT9</f>
        <v>107196</v>
      </c>
    </row>
    <row r="10" spans="1:73" ht="14.5">
      <c r="A10" s="2"/>
      <c r="B10" s="2"/>
      <c r="C10" s="2"/>
      <c r="D10" s="38"/>
      <c r="E10" s="2"/>
      <c r="F10" s="60"/>
      <c r="G10" s="60"/>
      <c r="H10" s="319">
        <v>0.25</v>
      </c>
      <c r="I10" s="60">
        <f t="shared" ref="I10:S10" si="19">H10</f>
        <v>0.25</v>
      </c>
      <c r="J10" s="60">
        <f t="shared" si="19"/>
        <v>0.25</v>
      </c>
      <c r="K10" s="60">
        <f t="shared" si="19"/>
        <v>0.25</v>
      </c>
      <c r="L10" s="60">
        <f t="shared" si="19"/>
        <v>0.25</v>
      </c>
      <c r="M10" s="60">
        <f t="shared" si="19"/>
        <v>0.25</v>
      </c>
      <c r="N10" s="60">
        <f t="shared" si="19"/>
        <v>0.25</v>
      </c>
      <c r="O10" s="60">
        <f t="shared" si="19"/>
        <v>0.25</v>
      </c>
      <c r="P10" s="60">
        <f t="shared" si="19"/>
        <v>0.25</v>
      </c>
      <c r="Q10" s="60">
        <f t="shared" si="19"/>
        <v>0.25</v>
      </c>
      <c r="R10" s="60">
        <f t="shared" si="19"/>
        <v>0.25</v>
      </c>
      <c r="S10" s="60">
        <f t="shared" si="19"/>
        <v>0.25</v>
      </c>
      <c r="T10" s="60"/>
      <c r="U10" s="319">
        <v>0.3</v>
      </c>
      <c r="V10" s="60">
        <f t="shared" ref="V10:AF10" si="20">U10</f>
        <v>0.3</v>
      </c>
      <c r="W10" s="60">
        <f t="shared" si="20"/>
        <v>0.3</v>
      </c>
      <c r="X10" s="60">
        <f t="shared" si="20"/>
        <v>0.3</v>
      </c>
      <c r="Y10" s="60">
        <f t="shared" si="20"/>
        <v>0.3</v>
      </c>
      <c r="Z10" s="60">
        <f t="shared" si="20"/>
        <v>0.3</v>
      </c>
      <c r="AA10" s="60">
        <f t="shared" si="20"/>
        <v>0.3</v>
      </c>
      <c r="AB10" s="60">
        <f t="shared" si="20"/>
        <v>0.3</v>
      </c>
      <c r="AC10" s="60">
        <f t="shared" si="20"/>
        <v>0.3</v>
      </c>
      <c r="AD10" s="60">
        <f t="shared" si="20"/>
        <v>0.3</v>
      </c>
      <c r="AE10" s="60">
        <f t="shared" si="20"/>
        <v>0.3</v>
      </c>
      <c r="AF10" s="60">
        <f t="shared" si="20"/>
        <v>0.3</v>
      </c>
      <c r="AG10" s="60"/>
      <c r="AH10" s="319">
        <v>0.5</v>
      </c>
      <c r="AI10" s="60">
        <f t="shared" ref="AI10:AS10" si="21">AH10</f>
        <v>0.5</v>
      </c>
      <c r="AJ10" s="60">
        <f t="shared" si="21"/>
        <v>0.5</v>
      </c>
      <c r="AK10" s="60">
        <f t="shared" si="21"/>
        <v>0.5</v>
      </c>
      <c r="AL10" s="60">
        <f t="shared" si="21"/>
        <v>0.5</v>
      </c>
      <c r="AM10" s="60">
        <f t="shared" si="21"/>
        <v>0.5</v>
      </c>
      <c r="AN10" s="60">
        <f t="shared" si="21"/>
        <v>0.5</v>
      </c>
      <c r="AO10" s="60">
        <f t="shared" si="21"/>
        <v>0.5</v>
      </c>
      <c r="AP10" s="60">
        <f t="shared" si="21"/>
        <v>0.5</v>
      </c>
      <c r="AQ10" s="60">
        <f t="shared" si="21"/>
        <v>0.5</v>
      </c>
      <c r="AR10" s="60">
        <f t="shared" si="21"/>
        <v>0.5</v>
      </c>
      <c r="AS10" s="60">
        <f t="shared" si="21"/>
        <v>0.5</v>
      </c>
      <c r="AT10" s="60"/>
      <c r="AU10" s="319">
        <v>0.6</v>
      </c>
      <c r="AV10" s="60">
        <f t="shared" ref="AV10:BF10" si="22">AU10</f>
        <v>0.6</v>
      </c>
      <c r="AW10" s="60">
        <f t="shared" si="22"/>
        <v>0.6</v>
      </c>
      <c r="AX10" s="60">
        <f t="shared" si="22"/>
        <v>0.6</v>
      </c>
      <c r="AY10" s="60">
        <f t="shared" si="22"/>
        <v>0.6</v>
      </c>
      <c r="AZ10" s="60">
        <f t="shared" si="22"/>
        <v>0.6</v>
      </c>
      <c r="BA10" s="60">
        <f t="shared" si="22"/>
        <v>0.6</v>
      </c>
      <c r="BB10" s="60">
        <f t="shared" si="22"/>
        <v>0.6</v>
      </c>
      <c r="BC10" s="60">
        <f t="shared" si="22"/>
        <v>0.6</v>
      </c>
      <c r="BD10" s="60">
        <f t="shared" si="22"/>
        <v>0.6</v>
      </c>
      <c r="BE10" s="60">
        <f t="shared" si="22"/>
        <v>0.6</v>
      </c>
      <c r="BF10" s="60">
        <f t="shared" si="22"/>
        <v>0.6</v>
      </c>
      <c r="BG10" s="60"/>
      <c r="BH10" s="319">
        <v>0.8</v>
      </c>
      <c r="BI10" s="60">
        <f t="shared" ref="BI10:BS10" si="23">BH10</f>
        <v>0.8</v>
      </c>
      <c r="BJ10" s="60">
        <f t="shared" si="23"/>
        <v>0.8</v>
      </c>
      <c r="BK10" s="60">
        <f t="shared" si="23"/>
        <v>0.8</v>
      </c>
      <c r="BL10" s="60">
        <f t="shared" si="23"/>
        <v>0.8</v>
      </c>
      <c r="BM10" s="60">
        <f t="shared" si="23"/>
        <v>0.8</v>
      </c>
      <c r="BN10" s="60">
        <f t="shared" si="23"/>
        <v>0.8</v>
      </c>
      <c r="BO10" s="60">
        <f t="shared" si="23"/>
        <v>0.8</v>
      </c>
      <c r="BP10" s="60">
        <f t="shared" si="23"/>
        <v>0.8</v>
      </c>
      <c r="BQ10" s="60">
        <f t="shared" si="23"/>
        <v>0.8</v>
      </c>
      <c r="BR10" s="60">
        <f t="shared" si="23"/>
        <v>0.8</v>
      </c>
      <c r="BS10" s="60">
        <f t="shared" si="23"/>
        <v>0.8</v>
      </c>
      <c r="BT10" s="60"/>
      <c r="BU10" s="60"/>
    </row>
    <row r="11" spans="1:73" ht="14.5">
      <c r="B11" s="2"/>
      <c r="C11" s="147" t="s">
        <v>542</v>
      </c>
      <c r="D11" s="320">
        <v>40000</v>
      </c>
      <c r="E11" s="3">
        <f>$E6*D$11</f>
        <v>10000</v>
      </c>
      <c r="F11" s="148">
        <f>SUM(D11:E11)</f>
        <v>50000</v>
      </c>
      <c r="G11" s="60"/>
      <c r="H11" s="77">
        <f t="shared" ref="H11:S11" si="24">ROUND(($F11/12)*H12,0)</f>
        <v>0</v>
      </c>
      <c r="I11" s="77">
        <f t="shared" si="24"/>
        <v>0</v>
      </c>
      <c r="J11" s="77">
        <f t="shared" si="24"/>
        <v>0</v>
      </c>
      <c r="K11" s="77">
        <f t="shared" si="24"/>
        <v>0</v>
      </c>
      <c r="L11" s="77">
        <f t="shared" si="24"/>
        <v>0</v>
      </c>
      <c r="M11" s="77">
        <f t="shared" si="24"/>
        <v>0</v>
      </c>
      <c r="N11" s="77">
        <f t="shared" si="24"/>
        <v>0</v>
      </c>
      <c r="O11" s="77">
        <f t="shared" si="24"/>
        <v>0</v>
      </c>
      <c r="P11" s="77">
        <f t="shared" si="24"/>
        <v>0</v>
      </c>
      <c r="Q11" s="77">
        <f t="shared" si="24"/>
        <v>0</v>
      </c>
      <c r="R11" s="77">
        <f t="shared" si="24"/>
        <v>0</v>
      </c>
      <c r="S11" s="77">
        <f t="shared" si="24"/>
        <v>0</v>
      </c>
      <c r="T11" s="77">
        <f>SUM(H11:S11)</f>
        <v>0</v>
      </c>
      <c r="U11" s="77">
        <f t="shared" ref="U11:AF11" si="25">ROUND(($F11/12)*U12,0)</f>
        <v>2500</v>
      </c>
      <c r="V11" s="77">
        <f t="shared" si="25"/>
        <v>2500</v>
      </c>
      <c r="W11" s="77">
        <f t="shared" si="25"/>
        <v>2500</v>
      </c>
      <c r="X11" s="77">
        <f t="shared" si="25"/>
        <v>2500</v>
      </c>
      <c r="Y11" s="77">
        <f t="shared" si="25"/>
        <v>2500</v>
      </c>
      <c r="Z11" s="77">
        <f t="shared" si="25"/>
        <v>2500</v>
      </c>
      <c r="AA11" s="77">
        <f t="shared" si="25"/>
        <v>2500</v>
      </c>
      <c r="AB11" s="77">
        <f t="shared" si="25"/>
        <v>2500</v>
      </c>
      <c r="AC11" s="77">
        <f t="shared" si="25"/>
        <v>2500</v>
      </c>
      <c r="AD11" s="77">
        <f t="shared" si="25"/>
        <v>2500</v>
      </c>
      <c r="AE11" s="77">
        <f t="shared" si="25"/>
        <v>2500</v>
      </c>
      <c r="AF11" s="77">
        <f t="shared" si="25"/>
        <v>2500</v>
      </c>
      <c r="AG11" s="77">
        <f>SUM(U11:AF11)</f>
        <v>30000</v>
      </c>
      <c r="AH11" s="77">
        <f t="shared" ref="AH11:AS11" si="26">ROUND(($F11/12)*AH12,0)</f>
        <v>2917</v>
      </c>
      <c r="AI11" s="3">
        <f t="shared" si="26"/>
        <v>2917</v>
      </c>
      <c r="AJ11" s="3">
        <f t="shared" si="26"/>
        <v>2917</v>
      </c>
      <c r="AK11" s="3">
        <f t="shared" si="26"/>
        <v>2917</v>
      </c>
      <c r="AL11" s="3">
        <f t="shared" si="26"/>
        <v>2917</v>
      </c>
      <c r="AM11" s="3">
        <f t="shared" si="26"/>
        <v>2917</v>
      </c>
      <c r="AN11" s="3">
        <f t="shared" si="26"/>
        <v>2917</v>
      </c>
      <c r="AO11" s="3">
        <f t="shared" si="26"/>
        <v>2917</v>
      </c>
      <c r="AP11" s="3">
        <f t="shared" si="26"/>
        <v>2917</v>
      </c>
      <c r="AQ11" s="3">
        <f t="shared" si="26"/>
        <v>2917</v>
      </c>
      <c r="AR11" s="3">
        <f t="shared" si="26"/>
        <v>2917</v>
      </c>
      <c r="AS11" s="3">
        <f t="shared" si="26"/>
        <v>2917</v>
      </c>
      <c r="AT11" s="3">
        <f>SUM(AH11:AS11)</f>
        <v>35004</v>
      </c>
      <c r="AU11" s="77">
        <f t="shared" ref="AU11:BF11" si="27">ROUND(($F11/12)*AU12,0)</f>
        <v>3333</v>
      </c>
      <c r="AV11" s="3">
        <f t="shared" si="27"/>
        <v>3333</v>
      </c>
      <c r="AW11" s="3">
        <f t="shared" si="27"/>
        <v>3333</v>
      </c>
      <c r="AX11" s="3">
        <f t="shared" si="27"/>
        <v>3333</v>
      </c>
      <c r="AY11" s="3">
        <f t="shared" si="27"/>
        <v>3333</v>
      </c>
      <c r="AZ11" s="3">
        <f t="shared" si="27"/>
        <v>3333</v>
      </c>
      <c r="BA11" s="3">
        <f t="shared" si="27"/>
        <v>3333</v>
      </c>
      <c r="BB11" s="3">
        <f t="shared" si="27"/>
        <v>3333</v>
      </c>
      <c r="BC11" s="3">
        <f t="shared" si="27"/>
        <v>3333</v>
      </c>
      <c r="BD11" s="3">
        <f t="shared" si="27"/>
        <v>3333</v>
      </c>
      <c r="BE11" s="3">
        <f t="shared" si="27"/>
        <v>3333</v>
      </c>
      <c r="BF11" s="3">
        <f t="shared" si="27"/>
        <v>3333</v>
      </c>
      <c r="BG11" s="3">
        <f>SUM(AU11:BF11)</f>
        <v>39996</v>
      </c>
      <c r="BH11" s="77">
        <f t="shared" ref="BH11:BS11" si="28">ROUND(($F11/12)*BH12,0)</f>
        <v>5208</v>
      </c>
      <c r="BI11" s="3">
        <f t="shared" si="28"/>
        <v>5208</v>
      </c>
      <c r="BJ11" s="3">
        <f t="shared" si="28"/>
        <v>5208</v>
      </c>
      <c r="BK11" s="3">
        <f t="shared" si="28"/>
        <v>5208</v>
      </c>
      <c r="BL11" s="3">
        <f t="shared" si="28"/>
        <v>5208</v>
      </c>
      <c r="BM11" s="3">
        <f t="shared" si="28"/>
        <v>5208</v>
      </c>
      <c r="BN11" s="3">
        <f t="shared" si="28"/>
        <v>5208</v>
      </c>
      <c r="BO11" s="3">
        <f t="shared" si="28"/>
        <v>5208</v>
      </c>
      <c r="BP11" s="3">
        <f t="shared" si="28"/>
        <v>5208</v>
      </c>
      <c r="BQ11" s="3">
        <f t="shared" si="28"/>
        <v>5208</v>
      </c>
      <c r="BR11" s="3">
        <f t="shared" si="28"/>
        <v>5208</v>
      </c>
      <c r="BS11" s="3">
        <f t="shared" si="28"/>
        <v>5208</v>
      </c>
      <c r="BT11" s="3">
        <f>SUM(BH11:BS11)</f>
        <v>62496</v>
      </c>
      <c r="BU11" s="3">
        <f>T11+AG11+AT11+BG11+BT11</f>
        <v>167496</v>
      </c>
    </row>
    <row r="12" spans="1:73" ht="14.5">
      <c r="A12" s="2"/>
      <c r="B12" s="2"/>
      <c r="C12" s="2"/>
      <c r="D12" s="38"/>
      <c r="E12" s="2"/>
      <c r="F12" s="60"/>
      <c r="G12" s="60"/>
      <c r="H12" s="319">
        <v>0</v>
      </c>
      <c r="I12" s="60">
        <f t="shared" ref="I12:S12" si="29">H12</f>
        <v>0</v>
      </c>
      <c r="J12" s="60">
        <f t="shared" si="29"/>
        <v>0</v>
      </c>
      <c r="K12" s="60">
        <f t="shared" si="29"/>
        <v>0</v>
      </c>
      <c r="L12" s="60">
        <f t="shared" si="29"/>
        <v>0</v>
      </c>
      <c r="M12" s="60">
        <f t="shared" si="29"/>
        <v>0</v>
      </c>
      <c r="N12" s="60">
        <f t="shared" si="29"/>
        <v>0</v>
      </c>
      <c r="O12" s="60">
        <f t="shared" si="29"/>
        <v>0</v>
      </c>
      <c r="P12" s="60">
        <f t="shared" si="29"/>
        <v>0</v>
      </c>
      <c r="Q12" s="60">
        <f t="shared" si="29"/>
        <v>0</v>
      </c>
      <c r="R12" s="60">
        <f t="shared" si="29"/>
        <v>0</v>
      </c>
      <c r="S12" s="60">
        <f t="shared" si="29"/>
        <v>0</v>
      </c>
      <c r="T12" s="60"/>
      <c r="U12" s="319">
        <v>0.6</v>
      </c>
      <c r="V12" s="60">
        <f t="shared" ref="V12:AF12" si="30">U12</f>
        <v>0.6</v>
      </c>
      <c r="W12" s="60">
        <f t="shared" si="30"/>
        <v>0.6</v>
      </c>
      <c r="X12" s="60">
        <f t="shared" si="30"/>
        <v>0.6</v>
      </c>
      <c r="Y12" s="60">
        <f t="shared" si="30"/>
        <v>0.6</v>
      </c>
      <c r="Z12" s="60">
        <f t="shared" si="30"/>
        <v>0.6</v>
      </c>
      <c r="AA12" s="60">
        <f t="shared" si="30"/>
        <v>0.6</v>
      </c>
      <c r="AB12" s="60">
        <f t="shared" si="30"/>
        <v>0.6</v>
      </c>
      <c r="AC12" s="60">
        <f t="shared" si="30"/>
        <v>0.6</v>
      </c>
      <c r="AD12" s="60">
        <f t="shared" si="30"/>
        <v>0.6</v>
      </c>
      <c r="AE12" s="60">
        <f t="shared" si="30"/>
        <v>0.6</v>
      </c>
      <c r="AF12" s="60">
        <f t="shared" si="30"/>
        <v>0.6</v>
      </c>
      <c r="AG12" s="60"/>
      <c r="AH12" s="319">
        <v>0.7</v>
      </c>
      <c r="AI12" s="60">
        <f t="shared" ref="AI12:AS12" si="31">AH12</f>
        <v>0.7</v>
      </c>
      <c r="AJ12" s="60">
        <f t="shared" si="31"/>
        <v>0.7</v>
      </c>
      <c r="AK12" s="60">
        <f t="shared" si="31"/>
        <v>0.7</v>
      </c>
      <c r="AL12" s="60">
        <f t="shared" si="31"/>
        <v>0.7</v>
      </c>
      <c r="AM12" s="60">
        <f t="shared" si="31"/>
        <v>0.7</v>
      </c>
      <c r="AN12" s="60">
        <f t="shared" si="31"/>
        <v>0.7</v>
      </c>
      <c r="AO12" s="60">
        <f t="shared" si="31"/>
        <v>0.7</v>
      </c>
      <c r="AP12" s="60">
        <f t="shared" si="31"/>
        <v>0.7</v>
      </c>
      <c r="AQ12" s="60">
        <f t="shared" si="31"/>
        <v>0.7</v>
      </c>
      <c r="AR12" s="60">
        <f t="shared" si="31"/>
        <v>0.7</v>
      </c>
      <c r="AS12" s="60">
        <f t="shared" si="31"/>
        <v>0.7</v>
      </c>
      <c r="AT12" s="60"/>
      <c r="AU12" s="319">
        <v>0.8</v>
      </c>
      <c r="AV12" s="60">
        <f t="shared" ref="AV12:BF12" si="32">AU12</f>
        <v>0.8</v>
      </c>
      <c r="AW12" s="60">
        <f t="shared" si="32"/>
        <v>0.8</v>
      </c>
      <c r="AX12" s="60">
        <f t="shared" si="32"/>
        <v>0.8</v>
      </c>
      <c r="AY12" s="60">
        <f t="shared" si="32"/>
        <v>0.8</v>
      </c>
      <c r="AZ12" s="60">
        <f t="shared" si="32"/>
        <v>0.8</v>
      </c>
      <c r="BA12" s="60">
        <f t="shared" si="32"/>
        <v>0.8</v>
      </c>
      <c r="BB12" s="60">
        <f t="shared" si="32"/>
        <v>0.8</v>
      </c>
      <c r="BC12" s="60">
        <f t="shared" si="32"/>
        <v>0.8</v>
      </c>
      <c r="BD12" s="60">
        <f t="shared" si="32"/>
        <v>0.8</v>
      </c>
      <c r="BE12" s="60">
        <f t="shared" si="32"/>
        <v>0.8</v>
      </c>
      <c r="BF12" s="60">
        <f t="shared" si="32"/>
        <v>0.8</v>
      </c>
      <c r="BG12" s="60"/>
      <c r="BH12" s="319">
        <v>1.25</v>
      </c>
      <c r="BI12" s="60">
        <f t="shared" ref="BI12:BS12" si="33">BH12</f>
        <v>1.25</v>
      </c>
      <c r="BJ12" s="60">
        <f t="shared" si="33"/>
        <v>1.25</v>
      </c>
      <c r="BK12" s="60">
        <f t="shared" si="33"/>
        <v>1.25</v>
      </c>
      <c r="BL12" s="60">
        <f t="shared" si="33"/>
        <v>1.25</v>
      </c>
      <c r="BM12" s="60">
        <f t="shared" si="33"/>
        <v>1.25</v>
      </c>
      <c r="BN12" s="60">
        <f t="shared" si="33"/>
        <v>1.25</v>
      </c>
      <c r="BO12" s="60">
        <f t="shared" si="33"/>
        <v>1.25</v>
      </c>
      <c r="BP12" s="60">
        <f t="shared" si="33"/>
        <v>1.25</v>
      </c>
      <c r="BQ12" s="60">
        <f t="shared" si="33"/>
        <v>1.25</v>
      </c>
      <c r="BR12" s="60">
        <f t="shared" si="33"/>
        <v>1.25</v>
      </c>
      <c r="BS12" s="60">
        <f t="shared" si="33"/>
        <v>1.25</v>
      </c>
      <c r="BT12" s="60"/>
      <c r="BU12" s="60"/>
    </row>
    <row r="13" spans="1:73" ht="14.5">
      <c r="B13" s="2"/>
      <c r="C13" s="147" t="s">
        <v>553</v>
      </c>
      <c r="D13" s="320">
        <v>40000</v>
      </c>
      <c r="E13" s="3">
        <f>$E6*D$13</f>
        <v>10000</v>
      </c>
      <c r="F13" s="148">
        <f>SUM(D13:E13)</f>
        <v>50000</v>
      </c>
      <c r="G13" s="60"/>
      <c r="H13" s="3">
        <f t="shared" ref="H13:S13" si="34">ROUND(($F13/12)*H14,0)</f>
        <v>0</v>
      </c>
      <c r="I13" s="3">
        <f t="shared" si="34"/>
        <v>0</v>
      </c>
      <c r="J13" s="3">
        <f t="shared" si="34"/>
        <v>0</v>
      </c>
      <c r="K13" s="3">
        <f t="shared" si="34"/>
        <v>0</v>
      </c>
      <c r="L13" s="3">
        <f t="shared" si="34"/>
        <v>0</v>
      </c>
      <c r="M13" s="3">
        <f t="shared" si="34"/>
        <v>0</v>
      </c>
      <c r="N13" s="3">
        <f t="shared" si="34"/>
        <v>0</v>
      </c>
      <c r="O13" s="3">
        <f t="shared" si="34"/>
        <v>0</v>
      </c>
      <c r="P13" s="3">
        <f t="shared" si="34"/>
        <v>0</v>
      </c>
      <c r="Q13" s="3">
        <f t="shared" si="34"/>
        <v>0</v>
      </c>
      <c r="R13" s="3">
        <f t="shared" si="34"/>
        <v>0</v>
      </c>
      <c r="S13" s="3">
        <f t="shared" si="34"/>
        <v>0</v>
      </c>
      <c r="T13" s="3">
        <f>SUM(H13:S13)</f>
        <v>0</v>
      </c>
      <c r="U13" s="3">
        <f t="shared" ref="U13:AF13" si="35">ROUND(($F13/12)*U14,0)</f>
        <v>0</v>
      </c>
      <c r="V13" s="3">
        <f t="shared" si="35"/>
        <v>0</v>
      </c>
      <c r="W13" s="3">
        <f t="shared" si="35"/>
        <v>0</v>
      </c>
      <c r="X13" s="3">
        <f t="shared" si="35"/>
        <v>0</v>
      </c>
      <c r="Y13" s="3">
        <f t="shared" si="35"/>
        <v>0</v>
      </c>
      <c r="Z13" s="3">
        <f t="shared" si="35"/>
        <v>0</v>
      </c>
      <c r="AA13" s="3">
        <f t="shared" si="35"/>
        <v>0</v>
      </c>
      <c r="AB13" s="3">
        <f t="shared" si="35"/>
        <v>0</v>
      </c>
      <c r="AC13" s="3">
        <f t="shared" si="35"/>
        <v>0</v>
      </c>
      <c r="AD13" s="3">
        <f t="shared" si="35"/>
        <v>0</v>
      </c>
      <c r="AE13" s="3">
        <f t="shared" si="35"/>
        <v>0</v>
      </c>
      <c r="AF13" s="3">
        <f t="shared" si="35"/>
        <v>0</v>
      </c>
      <c r="AG13" s="3">
        <f>SUM(U13:AF13)</f>
        <v>0</v>
      </c>
      <c r="AH13" s="3">
        <f t="shared" ref="AH13:AS13" si="36">ROUND(($F13/12)*AH14,0)</f>
        <v>0</v>
      </c>
      <c r="AI13" s="3">
        <f t="shared" si="36"/>
        <v>0</v>
      </c>
      <c r="AJ13" s="3">
        <f t="shared" si="36"/>
        <v>0</v>
      </c>
      <c r="AK13" s="3">
        <f t="shared" si="36"/>
        <v>0</v>
      </c>
      <c r="AL13" s="3">
        <f t="shared" si="36"/>
        <v>0</v>
      </c>
      <c r="AM13" s="3">
        <f t="shared" si="36"/>
        <v>0</v>
      </c>
      <c r="AN13" s="3">
        <f t="shared" si="36"/>
        <v>0</v>
      </c>
      <c r="AO13" s="3">
        <f t="shared" si="36"/>
        <v>0</v>
      </c>
      <c r="AP13" s="3">
        <f t="shared" si="36"/>
        <v>0</v>
      </c>
      <c r="AQ13" s="3">
        <f t="shared" si="36"/>
        <v>0</v>
      </c>
      <c r="AR13" s="3">
        <f t="shared" si="36"/>
        <v>0</v>
      </c>
      <c r="AS13" s="3">
        <f t="shared" si="36"/>
        <v>0</v>
      </c>
      <c r="AT13" s="3">
        <f>SUM(AH13:AS13)</f>
        <v>0</v>
      </c>
      <c r="AU13" s="3">
        <f t="shared" ref="AU13:BF13" si="37">ROUND(($F13/12)*AU14,0)</f>
        <v>0</v>
      </c>
      <c r="AV13" s="3">
        <f t="shared" si="37"/>
        <v>0</v>
      </c>
      <c r="AW13" s="3">
        <f t="shared" si="37"/>
        <v>0</v>
      </c>
      <c r="AX13" s="3">
        <f t="shared" si="37"/>
        <v>0</v>
      </c>
      <c r="AY13" s="3">
        <f t="shared" si="37"/>
        <v>0</v>
      </c>
      <c r="AZ13" s="3">
        <f t="shared" si="37"/>
        <v>0</v>
      </c>
      <c r="BA13" s="3">
        <f t="shared" si="37"/>
        <v>0</v>
      </c>
      <c r="BB13" s="3">
        <f t="shared" si="37"/>
        <v>0</v>
      </c>
      <c r="BC13" s="3">
        <f t="shared" si="37"/>
        <v>0</v>
      </c>
      <c r="BD13" s="3">
        <f t="shared" si="37"/>
        <v>0</v>
      </c>
      <c r="BE13" s="3">
        <f t="shared" si="37"/>
        <v>0</v>
      </c>
      <c r="BF13" s="3">
        <f t="shared" si="37"/>
        <v>0</v>
      </c>
      <c r="BG13" s="3">
        <f>SUM(AU13:BF13)</f>
        <v>0</v>
      </c>
      <c r="BH13" s="3">
        <f t="shared" ref="BH13:BS13" si="38">ROUND(($F13/12)*BH14,0)</f>
        <v>0</v>
      </c>
      <c r="BI13" s="3">
        <f t="shared" si="38"/>
        <v>0</v>
      </c>
      <c r="BJ13" s="3">
        <f t="shared" si="38"/>
        <v>0</v>
      </c>
      <c r="BK13" s="3">
        <f t="shared" si="38"/>
        <v>0</v>
      </c>
      <c r="BL13" s="3">
        <f t="shared" si="38"/>
        <v>0</v>
      </c>
      <c r="BM13" s="3">
        <f t="shared" si="38"/>
        <v>0</v>
      </c>
      <c r="BN13" s="3">
        <f t="shared" si="38"/>
        <v>0</v>
      </c>
      <c r="BO13" s="3">
        <f t="shared" si="38"/>
        <v>0</v>
      </c>
      <c r="BP13" s="3">
        <f t="shared" si="38"/>
        <v>0</v>
      </c>
      <c r="BQ13" s="3">
        <f t="shared" si="38"/>
        <v>0</v>
      </c>
      <c r="BR13" s="3">
        <f t="shared" si="38"/>
        <v>0</v>
      </c>
      <c r="BS13" s="3">
        <f t="shared" si="38"/>
        <v>0</v>
      </c>
      <c r="BT13" s="3">
        <f>SUM(BH13:BS13)</f>
        <v>0</v>
      </c>
      <c r="BU13" s="3">
        <f>T13+AG13+AT13+BG13+BT13</f>
        <v>0</v>
      </c>
    </row>
    <row r="14" spans="1:73" ht="14.5">
      <c r="A14" s="2"/>
      <c r="B14" s="2"/>
      <c r="C14" s="2"/>
      <c r="D14" s="38"/>
      <c r="E14" s="2"/>
      <c r="F14" s="60"/>
      <c r="G14" s="60"/>
      <c r="H14" s="319">
        <v>0</v>
      </c>
      <c r="I14" s="60">
        <f t="shared" ref="I14:S14" si="39">H14</f>
        <v>0</v>
      </c>
      <c r="J14" s="60">
        <f t="shared" si="39"/>
        <v>0</v>
      </c>
      <c r="K14" s="60">
        <f t="shared" si="39"/>
        <v>0</v>
      </c>
      <c r="L14" s="60">
        <f t="shared" si="39"/>
        <v>0</v>
      </c>
      <c r="M14" s="60">
        <f t="shared" si="39"/>
        <v>0</v>
      </c>
      <c r="N14" s="60">
        <f t="shared" si="39"/>
        <v>0</v>
      </c>
      <c r="O14" s="60">
        <f t="shared" si="39"/>
        <v>0</v>
      </c>
      <c r="P14" s="60">
        <f t="shared" si="39"/>
        <v>0</v>
      </c>
      <c r="Q14" s="60">
        <f t="shared" si="39"/>
        <v>0</v>
      </c>
      <c r="R14" s="60">
        <f t="shared" si="39"/>
        <v>0</v>
      </c>
      <c r="S14" s="60">
        <f t="shared" si="39"/>
        <v>0</v>
      </c>
      <c r="T14" s="60"/>
      <c r="U14" s="319">
        <v>0</v>
      </c>
      <c r="V14" s="60">
        <f t="shared" ref="V14:AF14" si="40">U14</f>
        <v>0</v>
      </c>
      <c r="W14" s="60">
        <f t="shared" si="40"/>
        <v>0</v>
      </c>
      <c r="X14" s="60">
        <f t="shared" si="40"/>
        <v>0</v>
      </c>
      <c r="Y14" s="60">
        <f t="shared" si="40"/>
        <v>0</v>
      </c>
      <c r="Z14" s="60">
        <f t="shared" si="40"/>
        <v>0</v>
      </c>
      <c r="AA14" s="60">
        <f t="shared" si="40"/>
        <v>0</v>
      </c>
      <c r="AB14" s="60">
        <f t="shared" si="40"/>
        <v>0</v>
      </c>
      <c r="AC14" s="60">
        <f t="shared" si="40"/>
        <v>0</v>
      </c>
      <c r="AD14" s="60">
        <f t="shared" si="40"/>
        <v>0</v>
      </c>
      <c r="AE14" s="60">
        <f t="shared" si="40"/>
        <v>0</v>
      </c>
      <c r="AF14" s="60">
        <f t="shared" si="40"/>
        <v>0</v>
      </c>
      <c r="AG14" s="60"/>
      <c r="AH14" s="319">
        <v>0</v>
      </c>
      <c r="AI14" s="60">
        <f t="shared" ref="AI14:AS14" si="41">AH14</f>
        <v>0</v>
      </c>
      <c r="AJ14" s="60">
        <f t="shared" si="41"/>
        <v>0</v>
      </c>
      <c r="AK14" s="60">
        <f t="shared" si="41"/>
        <v>0</v>
      </c>
      <c r="AL14" s="60">
        <f t="shared" si="41"/>
        <v>0</v>
      </c>
      <c r="AM14" s="60">
        <f t="shared" si="41"/>
        <v>0</v>
      </c>
      <c r="AN14" s="60">
        <f t="shared" si="41"/>
        <v>0</v>
      </c>
      <c r="AO14" s="60">
        <f t="shared" si="41"/>
        <v>0</v>
      </c>
      <c r="AP14" s="60">
        <f t="shared" si="41"/>
        <v>0</v>
      </c>
      <c r="AQ14" s="60">
        <f t="shared" si="41"/>
        <v>0</v>
      </c>
      <c r="AR14" s="60">
        <f t="shared" si="41"/>
        <v>0</v>
      </c>
      <c r="AS14" s="60">
        <f t="shared" si="41"/>
        <v>0</v>
      </c>
      <c r="AT14" s="60"/>
      <c r="AU14" s="319">
        <v>0</v>
      </c>
      <c r="AV14" s="60">
        <f t="shared" ref="AV14:BF14" si="42">AU14</f>
        <v>0</v>
      </c>
      <c r="AW14" s="60">
        <f t="shared" si="42"/>
        <v>0</v>
      </c>
      <c r="AX14" s="60">
        <f t="shared" si="42"/>
        <v>0</v>
      </c>
      <c r="AY14" s="60">
        <f t="shared" si="42"/>
        <v>0</v>
      </c>
      <c r="AZ14" s="60">
        <f t="shared" si="42"/>
        <v>0</v>
      </c>
      <c r="BA14" s="60">
        <f t="shared" si="42"/>
        <v>0</v>
      </c>
      <c r="BB14" s="60">
        <f t="shared" si="42"/>
        <v>0</v>
      </c>
      <c r="BC14" s="60">
        <f t="shared" si="42"/>
        <v>0</v>
      </c>
      <c r="BD14" s="60">
        <f t="shared" si="42"/>
        <v>0</v>
      </c>
      <c r="BE14" s="60">
        <f t="shared" si="42"/>
        <v>0</v>
      </c>
      <c r="BF14" s="60">
        <f t="shared" si="42"/>
        <v>0</v>
      </c>
      <c r="BG14" s="60"/>
      <c r="BH14" s="319">
        <v>0</v>
      </c>
      <c r="BI14" s="60">
        <f t="shared" ref="BI14:BS14" si="43">BH14</f>
        <v>0</v>
      </c>
      <c r="BJ14" s="60">
        <f t="shared" si="43"/>
        <v>0</v>
      </c>
      <c r="BK14" s="60">
        <f t="shared" si="43"/>
        <v>0</v>
      </c>
      <c r="BL14" s="60">
        <f t="shared" si="43"/>
        <v>0</v>
      </c>
      <c r="BM14" s="60">
        <f t="shared" si="43"/>
        <v>0</v>
      </c>
      <c r="BN14" s="60">
        <f t="shared" si="43"/>
        <v>0</v>
      </c>
      <c r="BO14" s="60">
        <f t="shared" si="43"/>
        <v>0</v>
      </c>
      <c r="BP14" s="60">
        <f t="shared" si="43"/>
        <v>0</v>
      </c>
      <c r="BQ14" s="60">
        <f t="shared" si="43"/>
        <v>0</v>
      </c>
      <c r="BR14" s="60">
        <f t="shared" si="43"/>
        <v>0</v>
      </c>
      <c r="BS14" s="60">
        <f t="shared" si="43"/>
        <v>0</v>
      </c>
      <c r="BT14" s="60"/>
      <c r="BU14" s="60"/>
    </row>
    <row r="15" spans="1:73" ht="14.5">
      <c r="B15" s="2"/>
      <c r="C15" s="147"/>
      <c r="D15" s="320">
        <v>0</v>
      </c>
      <c r="E15" s="3">
        <f>$E14*D$7</f>
        <v>0</v>
      </c>
      <c r="F15" s="148">
        <f>SUM(D15:E15)</f>
        <v>0</v>
      </c>
      <c r="G15" s="60"/>
      <c r="H15" s="77">
        <f t="shared" ref="H15:S15" si="44">ROUND(($F15/12)*H16,0)</f>
        <v>0</v>
      </c>
      <c r="I15" s="77">
        <f t="shared" si="44"/>
        <v>0</v>
      </c>
      <c r="J15" s="77">
        <f t="shared" si="44"/>
        <v>0</v>
      </c>
      <c r="K15" s="77">
        <f t="shared" si="44"/>
        <v>0</v>
      </c>
      <c r="L15" s="77">
        <f t="shared" si="44"/>
        <v>0</v>
      </c>
      <c r="M15" s="77">
        <f t="shared" si="44"/>
        <v>0</v>
      </c>
      <c r="N15" s="77">
        <f t="shared" si="44"/>
        <v>0</v>
      </c>
      <c r="O15" s="77">
        <f t="shared" si="44"/>
        <v>0</v>
      </c>
      <c r="P15" s="77">
        <f t="shared" si="44"/>
        <v>0</v>
      </c>
      <c r="Q15" s="77">
        <f t="shared" si="44"/>
        <v>0</v>
      </c>
      <c r="R15" s="77">
        <f t="shared" si="44"/>
        <v>0</v>
      </c>
      <c r="S15" s="77">
        <f t="shared" si="44"/>
        <v>0</v>
      </c>
      <c r="T15" s="77">
        <f>SUM(H15:S15)</f>
        <v>0</v>
      </c>
      <c r="U15" s="77">
        <f t="shared" ref="U15:AF15" si="45">ROUND(($F15/12)*U16,0)</f>
        <v>0</v>
      </c>
      <c r="V15" s="77">
        <f t="shared" si="45"/>
        <v>0</v>
      </c>
      <c r="W15" s="77">
        <f t="shared" si="45"/>
        <v>0</v>
      </c>
      <c r="X15" s="77">
        <f t="shared" si="45"/>
        <v>0</v>
      </c>
      <c r="Y15" s="77">
        <f t="shared" si="45"/>
        <v>0</v>
      </c>
      <c r="Z15" s="77">
        <f t="shared" si="45"/>
        <v>0</v>
      </c>
      <c r="AA15" s="77">
        <f t="shared" si="45"/>
        <v>0</v>
      </c>
      <c r="AB15" s="77">
        <f t="shared" si="45"/>
        <v>0</v>
      </c>
      <c r="AC15" s="77">
        <f t="shared" si="45"/>
        <v>0</v>
      </c>
      <c r="AD15" s="77">
        <f t="shared" si="45"/>
        <v>0</v>
      </c>
      <c r="AE15" s="77">
        <f t="shared" si="45"/>
        <v>0</v>
      </c>
      <c r="AF15" s="77">
        <f t="shared" si="45"/>
        <v>0</v>
      </c>
      <c r="AG15" s="77">
        <f>SUM(U15:AF15)</f>
        <v>0</v>
      </c>
      <c r="AH15" s="77">
        <f t="shared" ref="AH15:AS15" si="46">ROUND(($F15/12)*AH16,0)</f>
        <v>0</v>
      </c>
      <c r="AI15" s="77">
        <f t="shared" si="46"/>
        <v>0</v>
      </c>
      <c r="AJ15" s="77">
        <f t="shared" si="46"/>
        <v>0</v>
      </c>
      <c r="AK15" s="77">
        <f t="shared" si="46"/>
        <v>0</v>
      </c>
      <c r="AL15" s="77">
        <f t="shared" si="46"/>
        <v>0</v>
      </c>
      <c r="AM15" s="77">
        <f t="shared" si="46"/>
        <v>0</v>
      </c>
      <c r="AN15" s="77">
        <f t="shared" si="46"/>
        <v>0</v>
      </c>
      <c r="AO15" s="77">
        <f t="shared" si="46"/>
        <v>0</v>
      </c>
      <c r="AP15" s="77">
        <f t="shared" si="46"/>
        <v>0</v>
      </c>
      <c r="AQ15" s="77">
        <f t="shared" si="46"/>
        <v>0</v>
      </c>
      <c r="AR15" s="77">
        <f t="shared" si="46"/>
        <v>0</v>
      </c>
      <c r="AS15" s="77">
        <f t="shared" si="46"/>
        <v>0</v>
      </c>
      <c r="AT15" s="77">
        <f>SUM(AH15:AS15)</f>
        <v>0</v>
      </c>
      <c r="AU15" s="77">
        <f t="shared" ref="AU15:BF15" si="47">ROUND(($F15/12)*AU16,0)</f>
        <v>0</v>
      </c>
      <c r="AV15" s="77">
        <f t="shared" si="47"/>
        <v>0</v>
      </c>
      <c r="AW15" s="77">
        <f t="shared" si="47"/>
        <v>0</v>
      </c>
      <c r="AX15" s="77">
        <f t="shared" si="47"/>
        <v>0</v>
      </c>
      <c r="AY15" s="77">
        <f t="shared" si="47"/>
        <v>0</v>
      </c>
      <c r="AZ15" s="77">
        <f t="shared" si="47"/>
        <v>0</v>
      </c>
      <c r="BA15" s="77">
        <f t="shared" si="47"/>
        <v>0</v>
      </c>
      <c r="BB15" s="77">
        <f t="shared" si="47"/>
        <v>0</v>
      </c>
      <c r="BC15" s="77">
        <f t="shared" si="47"/>
        <v>0</v>
      </c>
      <c r="BD15" s="77">
        <f t="shared" si="47"/>
        <v>0</v>
      </c>
      <c r="BE15" s="77">
        <f t="shared" si="47"/>
        <v>0</v>
      </c>
      <c r="BF15" s="77">
        <f t="shared" si="47"/>
        <v>0</v>
      </c>
      <c r="BG15" s="77">
        <f>SUM(AU15:BF15)</f>
        <v>0</v>
      </c>
      <c r="BH15" s="77">
        <f t="shared" ref="BH15:BS15" si="48">ROUND(($F15/12)*BH16,0)</f>
        <v>0</v>
      </c>
      <c r="BI15" s="77">
        <f t="shared" si="48"/>
        <v>0</v>
      </c>
      <c r="BJ15" s="77">
        <f t="shared" si="48"/>
        <v>0</v>
      </c>
      <c r="BK15" s="77">
        <f t="shared" si="48"/>
        <v>0</v>
      </c>
      <c r="BL15" s="77">
        <f t="shared" si="48"/>
        <v>0</v>
      </c>
      <c r="BM15" s="77">
        <f t="shared" si="48"/>
        <v>0</v>
      </c>
      <c r="BN15" s="77">
        <f t="shared" si="48"/>
        <v>0</v>
      </c>
      <c r="BO15" s="77">
        <f t="shared" si="48"/>
        <v>0</v>
      </c>
      <c r="BP15" s="77">
        <f t="shared" si="48"/>
        <v>0</v>
      </c>
      <c r="BQ15" s="77">
        <f t="shared" si="48"/>
        <v>0</v>
      </c>
      <c r="BR15" s="77">
        <f t="shared" si="48"/>
        <v>0</v>
      </c>
      <c r="BS15" s="77">
        <f t="shared" si="48"/>
        <v>0</v>
      </c>
      <c r="BT15" s="77">
        <f>SUM(BH15:BS15)</f>
        <v>0</v>
      </c>
      <c r="BU15" s="3">
        <f>T15+AG15+AT15+BG15+BT15</f>
        <v>0</v>
      </c>
    </row>
    <row r="16" spans="1:73" ht="14.5">
      <c r="A16" s="2"/>
      <c r="B16" s="2"/>
      <c r="C16" s="2"/>
      <c r="D16" s="38"/>
      <c r="E16" s="2"/>
      <c r="F16" s="60"/>
      <c r="G16" s="60"/>
      <c r="H16" s="319">
        <v>0</v>
      </c>
      <c r="I16" s="60">
        <f t="shared" ref="I16:S16" si="49">H16</f>
        <v>0</v>
      </c>
      <c r="J16" s="60">
        <f t="shared" si="49"/>
        <v>0</v>
      </c>
      <c r="K16" s="60">
        <f t="shared" si="49"/>
        <v>0</v>
      </c>
      <c r="L16" s="60">
        <f t="shared" si="49"/>
        <v>0</v>
      </c>
      <c r="M16" s="60">
        <f t="shared" si="49"/>
        <v>0</v>
      </c>
      <c r="N16" s="60">
        <f t="shared" si="49"/>
        <v>0</v>
      </c>
      <c r="O16" s="60">
        <f t="shared" si="49"/>
        <v>0</v>
      </c>
      <c r="P16" s="60">
        <f t="shared" si="49"/>
        <v>0</v>
      </c>
      <c r="Q16" s="60">
        <f t="shared" si="49"/>
        <v>0</v>
      </c>
      <c r="R16" s="60">
        <f t="shared" si="49"/>
        <v>0</v>
      </c>
      <c r="S16" s="60">
        <f t="shared" si="49"/>
        <v>0</v>
      </c>
      <c r="T16" s="60"/>
      <c r="U16" s="319">
        <f t="shared" ref="U16:AF16" si="50">T16</f>
        <v>0</v>
      </c>
      <c r="V16" s="60">
        <f t="shared" si="50"/>
        <v>0</v>
      </c>
      <c r="W16" s="60">
        <f t="shared" si="50"/>
        <v>0</v>
      </c>
      <c r="X16" s="60">
        <f t="shared" si="50"/>
        <v>0</v>
      </c>
      <c r="Y16" s="60">
        <f t="shared" si="50"/>
        <v>0</v>
      </c>
      <c r="Z16" s="60">
        <f t="shared" si="50"/>
        <v>0</v>
      </c>
      <c r="AA16" s="60">
        <f t="shared" si="50"/>
        <v>0</v>
      </c>
      <c r="AB16" s="60">
        <f t="shared" si="50"/>
        <v>0</v>
      </c>
      <c r="AC16" s="60">
        <f t="shared" si="50"/>
        <v>0</v>
      </c>
      <c r="AD16" s="60">
        <f t="shared" si="50"/>
        <v>0</v>
      </c>
      <c r="AE16" s="60">
        <f t="shared" si="50"/>
        <v>0</v>
      </c>
      <c r="AF16" s="60">
        <f t="shared" si="50"/>
        <v>0</v>
      </c>
      <c r="AG16" s="60"/>
      <c r="AH16" s="319">
        <f t="shared" ref="AH16:AS16" si="51">AG16</f>
        <v>0</v>
      </c>
      <c r="AI16" s="60">
        <f t="shared" si="51"/>
        <v>0</v>
      </c>
      <c r="AJ16" s="60">
        <f t="shared" si="51"/>
        <v>0</v>
      </c>
      <c r="AK16" s="60">
        <f t="shared" si="51"/>
        <v>0</v>
      </c>
      <c r="AL16" s="60">
        <f t="shared" si="51"/>
        <v>0</v>
      </c>
      <c r="AM16" s="60">
        <f t="shared" si="51"/>
        <v>0</v>
      </c>
      <c r="AN16" s="60">
        <f t="shared" si="51"/>
        <v>0</v>
      </c>
      <c r="AO16" s="60">
        <f t="shared" si="51"/>
        <v>0</v>
      </c>
      <c r="AP16" s="60">
        <f t="shared" si="51"/>
        <v>0</v>
      </c>
      <c r="AQ16" s="60">
        <f t="shared" si="51"/>
        <v>0</v>
      </c>
      <c r="AR16" s="60">
        <f t="shared" si="51"/>
        <v>0</v>
      </c>
      <c r="AS16" s="60">
        <f t="shared" si="51"/>
        <v>0</v>
      </c>
      <c r="AT16" s="60"/>
      <c r="AU16" s="319">
        <f t="shared" ref="AU16:BF16" si="52">AT16</f>
        <v>0</v>
      </c>
      <c r="AV16" s="60">
        <f t="shared" si="52"/>
        <v>0</v>
      </c>
      <c r="AW16" s="60">
        <f t="shared" si="52"/>
        <v>0</v>
      </c>
      <c r="AX16" s="60">
        <f t="shared" si="52"/>
        <v>0</v>
      </c>
      <c r="AY16" s="60">
        <f t="shared" si="52"/>
        <v>0</v>
      </c>
      <c r="AZ16" s="60">
        <f t="shared" si="52"/>
        <v>0</v>
      </c>
      <c r="BA16" s="60">
        <f t="shared" si="52"/>
        <v>0</v>
      </c>
      <c r="BB16" s="60">
        <f t="shared" si="52"/>
        <v>0</v>
      </c>
      <c r="BC16" s="60">
        <f t="shared" si="52"/>
        <v>0</v>
      </c>
      <c r="BD16" s="60">
        <f t="shared" si="52"/>
        <v>0</v>
      </c>
      <c r="BE16" s="60">
        <f t="shared" si="52"/>
        <v>0</v>
      </c>
      <c r="BF16" s="60">
        <f t="shared" si="52"/>
        <v>0</v>
      </c>
      <c r="BG16" s="60"/>
      <c r="BH16" s="319">
        <f t="shared" ref="BH16:BS16" si="53">BG16</f>
        <v>0</v>
      </c>
      <c r="BI16" s="60">
        <f t="shared" si="53"/>
        <v>0</v>
      </c>
      <c r="BJ16" s="60">
        <f t="shared" si="53"/>
        <v>0</v>
      </c>
      <c r="BK16" s="60">
        <f t="shared" si="53"/>
        <v>0</v>
      </c>
      <c r="BL16" s="60">
        <f t="shared" si="53"/>
        <v>0</v>
      </c>
      <c r="BM16" s="60">
        <f t="shared" si="53"/>
        <v>0</v>
      </c>
      <c r="BN16" s="60">
        <f t="shared" si="53"/>
        <v>0</v>
      </c>
      <c r="BO16" s="60">
        <f t="shared" si="53"/>
        <v>0</v>
      </c>
      <c r="BP16" s="60">
        <f t="shared" si="53"/>
        <v>0</v>
      </c>
      <c r="BQ16" s="60">
        <f t="shared" si="53"/>
        <v>0</v>
      </c>
      <c r="BR16" s="60">
        <f t="shared" si="53"/>
        <v>0</v>
      </c>
      <c r="BS16" s="60">
        <f t="shared" si="53"/>
        <v>0</v>
      </c>
      <c r="BT16" s="60"/>
      <c r="BU16" s="60"/>
    </row>
    <row r="17" spans="1:73" ht="14.5">
      <c r="A17" s="2"/>
      <c r="B17" s="2"/>
      <c r="C17" s="48" t="str">
        <f>CONCATENATE("   Sub-total ",B6)</f>
        <v xml:space="preserve">   Sub-total Admin</v>
      </c>
      <c r="D17" s="38"/>
      <c r="E17" s="2"/>
      <c r="F17" s="60"/>
      <c r="G17" s="60"/>
      <c r="H17" s="18">
        <f t="shared" ref="H17:BT17" si="54">H7+H9+H11+H13+H15</f>
        <v>6119</v>
      </c>
      <c r="I17" s="18">
        <f t="shared" si="54"/>
        <v>6119</v>
      </c>
      <c r="J17" s="18">
        <f t="shared" si="54"/>
        <v>6119</v>
      </c>
      <c r="K17" s="18">
        <f t="shared" si="54"/>
        <v>6119</v>
      </c>
      <c r="L17" s="18">
        <f t="shared" si="54"/>
        <v>6119</v>
      </c>
      <c r="M17" s="18">
        <f t="shared" si="54"/>
        <v>6119</v>
      </c>
      <c r="N17" s="18">
        <f t="shared" si="54"/>
        <v>6119</v>
      </c>
      <c r="O17" s="18">
        <f t="shared" si="54"/>
        <v>6119</v>
      </c>
      <c r="P17" s="18">
        <f t="shared" si="54"/>
        <v>6119</v>
      </c>
      <c r="Q17" s="18">
        <f t="shared" si="54"/>
        <v>6119</v>
      </c>
      <c r="R17" s="18">
        <f t="shared" si="54"/>
        <v>6119</v>
      </c>
      <c r="S17" s="18">
        <f t="shared" si="54"/>
        <v>6119</v>
      </c>
      <c r="T17" s="18">
        <f t="shared" si="54"/>
        <v>73428</v>
      </c>
      <c r="U17" s="18">
        <f t="shared" si="54"/>
        <v>8802</v>
      </c>
      <c r="V17" s="18">
        <f t="shared" si="54"/>
        <v>8802</v>
      </c>
      <c r="W17" s="18">
        <f t="shared" si="54"/>
        <v>8802</v>
      </c>
      <c r="X17" s="18">
        <f t="shared" si="54"/>
        <v>8802</v>
      </c>
      <c r="Y17" s="18">
        <f t="shared" si="54"/>
        <v>8802</v>
      </c>
      <c r="Z17" s="18">
        <f t="shared" si="54"/>
        <v>8802</v>
      </c>
      <c r="AA17" s="18">
        <f t="shared" si="54"/>
        <v>8802</v>
      </c>
      <c r="AB17" s="18">
        <f t="shared" si="54"/>
        <v>8802</v>
      </c>
      <c r="AC17" s="18">
        <f t="shared" si="54"/>
        <v>8802</v>
      </c>
      <c r="AD17" s="18">
        <f t="shared" si="54"/>
        <v>8802</v>
      </c>
      <c r="AE17" s="18">
        <f t="shared" si="54"/>
        <v>8802</v>
      </c>
      <c r="AF17" s="18">
        <f t="shared" si="54"/>
        <v>8802</v>
      </c>
      <c r="AG17" s="18">
        <f t="shared" si="54"/>
        <v>105624</v>
      </c>
      <c r="AH17" s="18">
        <f t="shared" si="54"/>
        <v>9948</v>
      </c>
      <c r="AI17" s="18">
        <f t="shared" si="54"/>
        <v>9948</v>
      </c>
      <c r="AJ17" s="18">
        <f t="shared" si="54"/>
        <v>9948</v>
      </c>
      <c r="AK17" s="18">
        <f t="shared" si="54"/>
        <v>9948</v>
      </c>
      <c r="AL17" s="18">
        <f t="shared" si="54"/>
        <v>9948</v>
      </c>
      <c r="AM17" s="18">
        <f t="shared" si="54"/>
        <v>9948</v>
      </c>
      <c r="AN17" s="18">
        <f t="shared" si="54"/>
        <v>9948</v>
      </c>
      <c r="AO17" s="18">
        <f t="shared" si="54"/>
        <v>9948</v>
      </c>
      <c r="AP17" s="18">
        <f t="shared" si="54"/>
        <v>9948</v>
      </c>
      <c r="AQ17" s="18">
        <f t="shared" si="54"/>
        <v>9948</v>
      </c>
      <c r="AR17" s="18">
        <f t="shared" si="54"/>
        <v>9948</v>
      </c>
      <c r="AS17" s="18">
        <f t="shared" si="54"/>
        <v>9948</v>
      </c>
      <c r="AT17" s="18">
        <f t="shared" si="54"/>
        <v>119376</v>
      </c>
      <c r="AU17" s="18">
        <f t="shared" si="54"/>
        <v>10729</v>
      </c>
      <c r="AV17" s="18">
        <f t="shared" si="54"/>
        <v>10729</v>
      </c>
      <c r="AW17" s="18">
        <f t="shared" si="54"/>
        <v>10729</v>
      </c>
      <c r="AX17" s="18">
        <f t="shared" si="54"/>
        <v>10729</v>
      </c>
      <c r="AY17" s="18">
        <f t="shared" si="54"/>
        <v>10729</v>
      </c>
      <c r="AZ17" s="18">
        <f t="shared" si="54"/>
        <v>10729</v>
      </c>
      <c r="BA17" s="18">
        <f t="shared" si="54"/>
        <v>10729</v>
      </c>
      <c r="BB17" s="18">
        <f t="shared" si="54"/>
        <v>10729</v>
      </c>
      <c r="BC17" s="18">
        <f t="shared" si="54"/>
        <v>10729</v>
      </c>
      <c r="BD17" s="18">
        <f t="shared" si="54"/>
        <v>10729</v>
      </c>
      <c r="BE17" s="18">
        <f t="shared" si="54"/>
        <v>10729</v>
      </c>
      <c r="BF17" s="18">
        <f t="shared" si="54"/>
        <v>10729</v>
      </c>
      <c r="BG17" s="18">
        <f t="shared" si="54"/>
        <v>128748</v>
      </c>
      <c r="BH17" s="18">
        <f t="shared" si="54"/>
        <v>13333</v>
      </c>
      <c r="BI17" s="18">
        <f t="shared" si="54"/>
        <v>13333</v>
      </c>
      <c r="BJ17" s="18">
        <f t="shared" si="54"/>
        <v>13333</v>
      </c>
      <c r="BK17" s="18">
        <f t="shared" si="54"/>
        <v>13333</v>
      </c>
      <c r="BL17" s="18">
        <f t="shared" si="54"/>
        <v>13333</v>
      </c>
      <c r="BM17" s="18">
        <f t="shared" si="54"/>
        <v>13333</v>
      </c>
      <c r="BN17" s="18">
        <f t="shared" si="54"/>
        <v>13333</v>
      </c>
      <c r="BO17" s="18">
        <f t="shared" si="54"/>
        <v>13333</v>
      </c>
      <c r="BP17" s="18">
        <f t="shared" si="54"/>
        <v>13333</v>
      </c>
      <c r="BQ17" s="18">
        <f t="shared" si="54"/>
        <v>13333</v>
      </c>
      <c r="BR17" s="18">
        <f t="shared" si="54"/>
        <v>13333</v>
      </c>
      <c r="BS17" s="18">
        <f t="shared" si="54"/>
        <v>13333</v>
      </c>
      <c r="BT17" s="18">
        <f t="shared" si="54"/>
        <v>159996</v>
      </c>
      <c r="BU17" s="18">
        <f>SUM(BU7:BU16)</f>
        <v>587172</v>
      </c>
    </row>
    <row r="18" spans="1:73" ht="14.5">
      <c r="A18" s="2"/>
      <c r="B18" s="2"/>
      <c r="C18" s="257"/>
      <c r="D18" s="38"/>
      <c r="E18" s="2"/>
      <c r="F18" s="60"/>
      <c r="G18" s="60"/>
      <c r="H18" s="308"/>
      <c r="I18" s="308"/>
      <c r="J18" s="308"/>
      <c r="K18" s="308"/>
      <c r="L18" s="308"/>
      <c r="M18" s="308"/>
      <c r="N18" s="308"/>
      <c r="O18" s="308"/>
      <c r="P18" s="308"/>
      <c r="Q18" s="308"/>
      <c r="R18" s="308"/>
      <c r="S18" s="308"/>
      <c r="T18" s="308"/>
      <c r="U18" s="308"/>
      <c r="V18" s="308"/>
      <c r="W18" s="308"/>
      <c r="X18" s="308"/>
      <c r="Y18" s="308"/>
      <c r="Z18" s="308"/>
      <c r="AA18" s="308"/>
      <c r="AB18" s="308"/>
      <c r="AC18" s="308"/>
      <c r="AD18" s="308"/>
      <c r="AE18" s="308"/>
      <c r="AF18" s="308"/>
      <c r="AG18" s="308"/>
      <c r="AH18" s="308"/>
      <c r="AI18" s="308"/>
      <c r="AJ18" s="308"/>
      <c r="AK18" s="308"/>
      <c r="AL18" s="308"/>
      <c r="AM18" s="308"/>
      <c r="AN18" s="308"/>
      <c r="AO18" s="308"/>
      <c r="AP18" s="308"/>
      <c r="AQ18" s="308"/>
      <c r="AR18" s="308"/>
      <c r="AS18" s="308"/>
      <c r="AT18" s="308"/>
      <c r="AU18" s="308"/>
      <c r="AV18" s="308"/>
      <c r="AW18" s="308"/>
      <c r="AX18" s="308"/>
      <c r="AY18" s="308"/>
      <c r="AZ18" s="308"/>
      <c r="BA18" s="308"/>
      <c r="BB18" s="308"/>
      <c r="BC18" s="308"/>
      <c r="BD18" s="308"/>
      <c r="BE18" s="308"/>
      <c r="BF18" s="308"/>
      <c r="BG18" s="308"/>
      <c r="BH18" s="308"/>
      <c r="BI18" s="308"/>
      <c r="BJ18" s="308"/>
      <c r="BK18" s="308"/>
      <c r="BL18" s="308"/>
      <c r="BM18" s="308"/>
      <c r="BN18" s="308"/>
      <c r="BO18" s="308"/>
      <c r="BP18" s="308"/>
      <c r="BQ18" s="308"/>
      <c r="BR18" s="308"/>
      <c r="BS18" s="308"/>
      <c r="BT18" s="308"/>
      <c r="BU18" s="308"/>
    </row>
    <row r="19" spans="1:73" ht="14.5">
      <c r="A19" s="2"/>
      <c r="B19" s="2"/>
      <c r="C19" s="257"/>
      <c r="D19" s="38"/>
      <c r="E19" s="2"/>
      <c r="F19" s="60" t="s">
        <v>665</v>
      </c>
      <c r="G19" s="60"/>
      <c r="H19" s="370">
        <f t="shared" ref="H19:X19" si="55">H8+H10+H12+H14+H16</f>
        <v>1.25</v>
      </c>
      <c r="I19" s="370">
        <f t="shared" si="55"/>
        <v>1.25</v>
      </c>
      <c r="J19" s="370">
        <f t="shared" si="55"/>
        <v>1.25</v>
      </c>
      <c r="K19" s="370">
        <f t="shared" si="55"/>
        <v>1.25</v>
      </c>
      <c r="L19" s="370">
        <f>L8+L10+L12+L14+L16</f>
        <v>1.25</v>
      </c>
      <c r="M19" s="370">
        <f t="shared" ref="M19:S19" si="56">M8+M10+M12+M14+M16</f>
        <v>1.25</v>
      </c>
      <c r="N19" s="370">
        <f t="shared" si="56"/>
        <v>1.25</v>
      </c>
      <c r="O19" s="370">
        <f t="shared" si="56"/>
        <v>1.25</v>
      </c>
      <c r="P19" s="370">
        <f t="shared" si="56"/>
        <v>1.25</v>
      </c>
      <c r="Q19" s="370">
        <f t="shared" si="56"/>
        <v>1.25</v>
      </c>
      <c r="R19" s="370">
        <f t="shared" si="56"/>
        <v>1.25</v>
      </c>
      <c r="S19" s="370">
        <f t="shared" si="56"/>
        <v>1.25</v>
      </c>
      <c r="T19" s="308"/>
      <c r="U19" s="370">
        <f t="shared" si="55"/>
        <v>1.9</v>
      </c>
      <c r="V19" s="370">
        <f t="shared" si="55"/>
        <v>1.9</v>
      </c>
      <c r="W19" s="370">
        <f t="shared" si="55"/>
        <v>1.9</v>
      </c>
      <c r="X19" s="370">
        <f t="shared" si="55"/>
        <v>1.9</v>
      </c>
      <c r="Y19" s="370">
        <f>Y8+Y10+Y12+Y14+Y16</f>
        <v>1.9</v>
      </c>
      <c r="Z19" s="370">
        <f t="shared" ref="Z19:AF19" si="57">Z8+Z10+Z12+Z14+Z16</f>
        <v>1.9</v>
      </c>
      <c r="AA19" s="370">
        <f t="shared" si="57"/>
        <v>1.9</v>
      </c>
      <c r="AB19" s="370">
        <f t="shared" si="57"/>
        <v>1.9</v>
      </c>
      <c r="AC19" s="370">
        <f t="shared" si="57"/>
        <v>1.9</v>
      </c>
      <c r="AD19" s="370">
        <f t="shared" si="57"/>
        <v>1.9</v>
      </c>
      <c r="AE19" s="370">
        <f t="shared" si="57"/>
        <v>1.9</v>
      </c>
      <c r="AF19" s="370">
        <f t="shared" si="57"/>
        <v>1.9</v>
      </c>
      <c r="AG19" s="308"/>
      <c r="AH19" s="370">
        <f t="shared" ref="AH19:AK19" si="58">AH8+AH10+AH12+AH14+AH16</f>
        <v>2.2000000000000002</v>
      </c>
      <c r="AI19" s="370">
        <f t="shared" si="58"/>
        <v>2.2000000000000002</v>
      </c>
      <c r="AJ19" s="370">
        <f t="shared" si="58"/>
        <v>2.2000000000000002</v>
      </c>
      <c r="AK19" s="370">
        <f t="shared" si="58"/>
        <v>2.2000000000000002</v>
      </c>
      <c r="AL19" s="370">
        <f>AL8+AL10+AL12+AL14+AL16</f>
        <v>2.2000000000000002</v>
      </c>
      <c r="AM19" s="370">
        <f t="shared" ref="AM19:AS19" si="59">AM8+AM10+AM12+AM14+AM16</f>
        <v>2.2000000000000002</v>
      </c>
      <c r="AN19" s="370">
        <f t="shared" si="59"/>
        <v>2.2000000000000002</v>
      </c>
      <c r="AO19" s="370">
        <f t="shared" si="59"/>
        <v>2.2000000000000002</v>
      </c>
      <c r="AP19" s="370">
        <f t="shared" si="59"/>
        <v>2.2000000000000002</v>
      </c>
      <c r="AQ19" s="370">
        <f t="shared" si="59"/>
        <v>2.2000000000000002</v>
      </c>
      <c r="AR19" s="370">
        <f t="shared" si="59"/>
        <v>2.2000000000000002</v>
      </c>
      <c r="AS19" s="370">
        <f t="shared" si="59"/>
        <v>2.2000000000000002</v>
      </c>
      <c r="AT19" s="308"/>
      <c r="AU19" s="370">
        <f t="shared" ref="AU19:AX19" si="60">AU8+AU10+AU12+AU14+AU16</f>
        <v>2.4000000000000004</v>
      </c>
      <c r="AV19" s="370">
        <f t="shared" si="60"/>
        <v>2.4000000000000004</v>
      </c>
      <c r="AW19" s="370">
        <f t="shared" si="60"/>
        <v>2.4000000000000004</v>
      </c>
      <c r="AX19" s="370">
        <f t="shared" si="60"/>
        <v>2.4000000000000004</v>
      </c>
      <c r="AY19" s="370">
        <f>AY8+AY10+AY12+AY14+AY16</f>
        <v>2.4000000000000004</v>
      </c>
      <c r="AZ19" s="370">
        <f t="shared" ref="AZ19:BF19" si="61">AZ8+AZ10+AZ12+AZ14+AZ16</f>
        <v>2.4000000000000004</v>
      </c>
      <c r="BA19" s="370">
        <f t="shared" si="61"/>
        <v>2.4000000000000004</v>
      </c>
      <c r="BB19" s="370">
        <f t="shared" si="61"/>
        <v>2.4000000000000004</v>
      </c>
      <c r="BC19" s="370">
        <f t="shared" si="61"/>
        <v>2.4000000000000004</v>
      </c>
      <c r="BD19" s="370">
        <f t="shared" si="61"/>
        <v>2.4000000000000004</v>
      </c>
      <c r="BE19" s="370">
        <f t="shared" si="61"/>
        <v>2.4000000000000004</v>
      </c>
      <c r="BF19" s="370">
        <f t="shared" si="61"/>
        <v>2.4000000000000004</v>
      </c>
      <c r="BG19" s="308"/>
      <c r="BH19" s="370">
        <f t="shared" ref="BH19:BK19" si="62">BH8+BH10+BH12+BH14+BH16</f>
        <v>3.05</v>
      </c>
      <c r="BI19" s="370">
        <f t="shared" si="62"/>
        <v>3.05</v>
      </c>
      <c r="BJ19" s="370">
        <f t="shared" si="62"/>
        <v>3.05</v>
      </c>
      <c r="BK19" s="370">
        <f t="shared" si="62"/>
        <v>3.05</v>
      </c>
      <c r="BL19" s="370">
        <f>BL8+BL10+BL12+BL14+BL16</f>
        <v>3.05</v>
      </c>
      <c r="BM19" s="370">
        <f t="shared" ref="BM19:BS19" si="63">BM8+BM10+BM12+BM14+BM16</f>
        <v>3.05</v>
      </c>
      <c r="BN19" s="370">
        <f t="shared" si="63"/>
        <v>3.05</v>
      </c>
      <c r="BO19" s="370">
        <f t="shared" si="63"/>
        <v>3.05</v>
      </c>
      <c r="BP19" s="370">
        <f t="shared" si="63"/>
        <v>3.05</v>
      </c>
      <c r="BQ19" s="370">
        <f t="shared" si="63"/>
        <v>3.05</v>
      </c>
      <c r="BR19" s="370">
        <f t="shared" si="63"/>
        <v>3.05</v>
      </c>
      <c r="BS19" s="370">
        <f t="shared" si="63"/>
        <v>3.05</v>
      </c>
      <c r="BT19" s="308"/>
      <c r="BU19" s="308"/>
    </row>
    <row r="20" spans="1:73" ht="14.5">
      <c r="B20" s="2" t="s">
        <v>172</v>
      </c>
      <c r="C20" s="2"/>
      <c r="D20" s="38"/>
      <c r="E20" s="2"/>
      <c r="F20" s="60"/>
      <c r="G20" s="6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ht="14.5">
      <c r="B21" s="2"/>
      <c r="C21" s="147" t="s">
        <v>456</v>
      </c>
      <c r="D21" s="320">
        <v>60000</v>
      </c>
      <c r="E21" s="3">
        <f>E$6*$D21</f>
        <v>15000</v>
      </c>
      <c r="F21" s="148">
        <f>SUM(D21:E21)</f>
        <v>75000</v>
      </c>
      <c r="G21" s="60"/>
      <c r="H21" s="3">
        <f t="shared" ref="H21:S21" si="64">ROUND(($F21/12)*H22,0)</f>
        <v>6250</v>
      </c>
      <c r="I21" s="3">
        <f t="shared" si="64"/>
        <v>6250</v>
      </c>
      <c r="J21" s="3">
        <f t="shared" si="64"/>
        <v>6250</v>
      </c>
      <c r="K21" s="3">
        <f t="shared" si="64"/>
        <v>6250</v>
      </c>
      <c r="L21" s="3">
        <f t="shared" si="64"/>
        <v>6250</v>
      </c>
      <c r="M21" s="3">
        <f t="shared" si="64"/>
        <v>6250</v>
      </c>
      <c r="N21" s="3">
        <f t="shared" si="64"/>
        <v>6250</v>
      </c>
      <c r="O21" s="3">
        <f t="shared" si="64"/>
        <v>6250</v>
      </c>
      <c r="P21" s="3">
        <f t="shared" si="64"/>
        <v>6250</v>
      </c>
      <c r="Q21" s="3">
        <f t="shared" si="64"/>
        <v>6250</v>
      </c>
      <c r="R21" s="3">
        <f t="shared" si="64"/>
        <v>6250</v>
      </c>
      <c r="S21" s="3">
        <f t="shared" si="64"/>
        <v>6250</v>
      </c>
      <c r="T21" s="3">
        <f>SUM(H21:S21)</f>
        <v>75000</v>
      </c>
      <c r="U21" s="3">
        <f t="shared" ref="U21:AF21" si="65">ROUND(($F21/12)*U22,0)</f>
        <v>6250</v>
      </c>
      <c r="V21" s="3">
        <f t="shared" si="65"/>
        <v>6250</v>
      </c>
      <c r="W21" s="3">
        <f t="shared" si="65"/>
        <v>6250</v>
      </c>
      <c r="X21" s="3">
        <f t="shared" si="65"/>
        <v>6250</v>
      </c>
      <c r="Y21" s="3">
        <f t="shared" si="65"/>
        <v>6250</v>
      </c>
      <c r="Z21" s="3">
        <f t="shared" si="65"/>
        <v>6250</v>
      </c>
      <c r="AA21" s="3">
        <f t="shared" si="65"/>
        <v>6250</v>
      </c>
      <c r="AB21" s="3">
        <f t="shared" si="65"/>
        <v>6250</v>
      </c>
      <c r="AC21" s="3">
        <f t="shared" si="65"/>
        <v>6250</v>
      </c>
      <c r="AD21" s="3">
        <f t="shared" si="65"/>
        <v>6250</v>
      </c>
      <c r="AE21" s="3">
        <f t="shared" si="65"/>
        <v>6250</v>
      </c>
      <c r="AF21" s="3">
        <f t="shared" si="65"/>
        <v>6250</v>
      </c>
      <c r="AG21" s="3">
        <f>SUM(U21:AF21)</f>
        <v>75000</v>
      </c>
      <c r="AH21" s="3">
        <f t="shared" ref="AH21:AS21" si="66">ROUND(($F21/12)*AH22,0)</f>
        <v>6250</v>
      </c>
      <c r="AI21" s="3">
        <f t="shared" si="66"/>
        <v>6250</v>
      </c>
      <c r="AJ21" s="3">
        <f t="shared" si="66"/>
        <v>6250</v>
      </c>
      <c r="AK21" s="3">
        <f t="shared" si="66"/>
        <v>6250</v>
      </c>
      <c r="AL21" s="3">
        <f t="shared" si="66"/>
        <v>6250</v>
      </c>
      <c r="AM21" s="3">
        <f t="shared" si="66"/>
        <v>6250</v>
      </c>
      <c r="AN21" s="3">
        <f t="shared" si="66"/>
        <v>6250</v>
      </c>
      <c r="AO21" s="3">
        <f t="shared" si="66"/>
        <v>6250</v>
      </c>
      <c r="AP21" s="3">
        <f t="shared" si="66"/>
        <v>6250</v>
      </c>
      <c r="AQ21" s="3">
        <f t="shared" si="66"/>
        <v>6250</v>
      </c>
      <c r="AR21" s="3">
        <f t="shared" si="66"/>
        <v>6250</v>
      </c>
      <c r="AS21" s="3">
        <f t="shared" si="66"/>
        <v>6250</v>
      </c>
      <c r="AT21" s="3">
        <f>SUM(AH21:AS21)</f>
        <v>75000</v>
      </c>
      <c r="AU21" s="3">
        <f t="shared" ref="AU21:BF21" si="67">ROUND(($F21/12)*AU22,0)</f>
        <v>6250</v>
      </c>
      <c r="AV21" s="3">
        <f t="shared" si="67"/>
        <v>6250</v>
      </c>
      <c r="AW21" s="3">
        <f t="shared" si="67"/>
        <v>6250</v>
      </c>
      <c r="AX21" s="3">
        <f t="shared" si="67"/>
        <v>6250</v>
      </c>
      <c r="AY21" s="3">
        <f t="shared" si="67"/>
        <v>6250</v>
      </c>
      <c r="AZ21" s="3">
        <f t="shared" si="67"/>
        <v>6250</v>
      </c>
      <c r="BA21" s="3">
        <f t="shared" si="67"/>
        <v>6250</v>
      </c>
      <c r="BB21" s="3">
        <f t="shared" si="67"/>
        <v>6250</v>
      </c>
      <c r="BC21" s="3">
        <f t="shared" si="67"/>
        <v>6250</v>
      </c>
      <c r="BD21" s="3">
        <f t="shared" si="67"/>
        <v>6250</v>
      </c>
      <c r="BE21" s="3">
        <f t="shared" si="67"/>
        <v>6250</v>
      </c>
      <c r="BF21" s="3">
        <f t="shared" si="67"/>
        <v>6250</v>
      </c>
      <c r="BG21" s="3">
        <f>SUM(AU21:BF21)</f>
        <v>75000</v>
      </c>
      <c r="BH21" s="3">
        <f t="shared" ref="BH21:BS21" si="68">ROUND(($F21/12)*BH22,0)</f>
        <v>6250</v>
      </c>
      <c r="BI21" s="3">
        <f t="shared" si="68"/>
        <v>6250</v>
      </c>
      <c r="BJ21" s="3">
        <f t="shared" si="68"/>
        <v>6250</v>
      </c>
      <c r="BK21" s="3">
        <f t="shared" si="68"/>
        <v>6250</v>
      </c>
      <c r="BL21" s="3">
        <f t="shared" si="68"/>
        <v>6250</v>
      </c>
      <c r="BM21" s="3">
        <f t="shared" si="68"/>
        <v>6250</v>
      </c>
      <c r="BN21" s="3">
        <f t="shared" si="68"/>
        <v>6250</v>
      </c>
      <c r="BO21" s="3">
        <f t="shared" si="68"/>
        <v>6250</v>
      </c>
      <c r="BP21" s="3">
        <f t="shared" si="68"/>
        <v>6250</v>
      </c>
      <c r="BQ21" s="3">
        <f t="shared" si="68"/>
        <v>6250</v>
      </c>
      <c r="BR21" s="3">
        <f t="shared" si="68"/>
        <v>6250</v>
      </c>
      <c r="BS21" s="3">
        <f t="shared" si="68"/>
        <v>6250</v>
      </c>
      <c r="BT21" s="3">
        <f>SUM(BH21:BS21)</f>
        <v>75000</v>
      </c>
      <c r="BU21" s="3">
        <f>T21+AG21+AT21+BG21+BT21</f>
        <v>375000</v>
      </c>
    </row>
    <row r="22" spans="1:73" ht="14.5">
      <c r="B22" s="2"/>
      <c r="C22" s="2"/>
      <c r="D22" s="38"/>
      <c r="E22" s="3"/>
      <c r="F22" s="149"/>
      <c r="G22" s="60"/>
      <c r="H22" s="319">
        <v>1</v>
      </c>
      <c r="I22" s="60">
        <f t="shared" ref="I22:S22" si="69">H22</f>
        <v>1</v>
      </c>
      <c r="J22" s="60">
        <f t="shared" si="69"/>
        <v>1</v>
      </c>
      <c r="K22" s="60">
        <f t="shared" si="69"/>
        <v>1</v>
      </c>
      <c r="L22" s="60">
        <f t="shared" si="69"/>
        <v>1</v>
      </c>
      <c r="M22" s="60">
        <f t="shared" si="69"/>
        <v>1</v>
      </c>
      <c r="N22" s="60">
        <f t="shared" si="69"/>
        <v>1</v>
      </c>
      <c r="O22" s="60">
        <f t="shared" si="69"/>
        <v>1</v>
      </c>
      <c r="P22" s="60">
        <f t="shared" si="69"/>
        <v>1</v>
      </c>
      <c r="Q22" s="60">
        <f t="shared" si="69"/>
        <v>1</v>
      </c>
      <c r="R22" s="60">
        <f t="shared" si="69"/>
        <v>1</v>
      </c>
      <c r="S22" s="60">
        <f t="shared" si="69"/>
        <v>1</v>
      </c>
      <c r="T22" s="60"/>
      <c r="U22" s="319">
        <v>1</v>
      </c>
      <c r="V22" s="60">
        <f t="shared" ref="V22:AF22" si="70">U22</f>
        <v>1</v>
      </c>
      <c r="W22" s="60">
        <f t="shared" si="70"/>
        <v>1</v>
      </c>
      <c r="X22" s="60">
        <f t="shared" si="70"/>
        <v>1</v>
      </c>
      <c r="Y22" s="60">
        <f t="shared" si="70"/>
        <v>1</v>
      </c>
      <c r="Z22" s="60">
        <f t="shared" si="70"/>
        <v>1</v>
      </c>
      <c r="AA22" s="60">
        <f t="shared" si="70"/>
        <v>1</v>
      </c>
      <c r="AB22" s="60">
        <f t="shared" si="70"/>
        <v>1</v>
      </c>
      <c r="AC22" s="60">
        <f t="shared" si="70"/>
        <v>1</v>
      </c>
      <c r="AD22" s="60">
        <f t="shared" si="70"/>
        <v>1</v>
      </c>
      <c r="AE22" s="60">
        <f t="shared" si="70"/>
        <v>1</v>
      </c>
      <c r="AF22" s="60">
        <f t="shared" si="70"/>
        <v>1</v>
      </c>
      <c r="AG22" s="60"/>
      <c r="AH22" s="319">
        <v>1</v>
      </c>
      <c r="AI22" s="60">
        <f t="shared" ref="AI22:AS22" si="71">AH22</f>
        <v>1</v>
      </c>
      <c r="AJ22" s="60">
        <f t="shared" si="71"/>
        <v>1</v>
      </c>
      <c r="AK22" s="60">
        <f t="shared" si="71"/>
        <v>1</v>
      </c>
      <c r="AL22" s="60">
        <f t="shared" si="71"/>
        <v>1</v>
      </c>
      <c r="AM22" s="60">
        <f t="shared" si="71"/>
        <v>1</v>
      </c>
      <c r="AN22" s="60">
        <f t="shared" si="71"/>
        <v>1</v>
      </c>
      <c r="AO22" s="60">
        <f t="shared" si="71"/>
        <v>1</v>
      </c>
      <c r="AP22" s="60">
        <f t="shared" si="71"/>
        <v>1</v>
      </c>
      <c r="AQ22" s="60">
        <f t="shared" si="71"/>
        <v>1</v>
      </c>
      <c r="AR22" s="60">
        <f t="shared" si="71"/>
        <v>1</v>
      </c>
      <c r="AS22" s="60">
        <f t="shared" si="71"/>
        <v>1</v>
      </c>
      <c r="AT22" s="60"/>
      <c r="AU22" s="319">
        <v>1</v>
      </c>
      <c r="AV22" s="60">
        <f t="shared" ref="AV22:BF22" si="72">AU22</f>
        <v>1</v>
      </c>
      <c r="AW22" s="60">
        <f t="shared" si="72"/>
        <v>1</v>
      </c>
      <c r="AX22" s="60">
        <f t="shared" si="72"/>
        <v>1</v>
      </c>
      <c r="AY22" s="60">
        <f t="shared" si="72"/>
        <v>1</v>
      </c>
      <c r="AZ22" s="60">
        <f t="shared" si="72"/>
        <v>1</v>
      </c>
      <c r="BA22" s="60">
        <f t="shared" si="72"/>
        <v>1</v>
      </c>
      <c r="BB22" s="60">
        <f t="shared" si="72"/>
        <v>1</v>
      </c>
      <c r="BC22" s="60">
        <f t="shared" si="72"/>
        <v>1</v>
      </c>
      <c r="BD22" s="60">
        <f t="shared" si="72"/>
        <v>1</v>
      </c>
      <c r="BE22" s="60">
        <f t="shared" si="72"/>
        <v>1</v>
      </c>
      <c r="BF22" s="60">
        <f t="shared" si="72"/>
        <v>1</v>
      </c>
      <c r="BG22" s="60"/>
      <c r="BH22" s="319">
        <v>1</v>
      </c>
      <c r="BI22" s="60">
        <f t="shared" ref="BI22:BS22" si="73">BH22</f>
        <v>1</v>
      </c>
      <c r="BJ22" s="60">
        <f t="shared" si="73"/>
        <v>1</v>
      </c>
      <c r="BK22" s="60">
        <f t="shared" si="73"/>
        <v>1</v>
      </c>
      <c r="BL22" s="60">
        <f t="shared" si="73"/>
        <v>1</v>
      </c>
      <c r="BM22" s="60">
        <f t="shared" si="73"/>
        <v>1</v>
      </c>
      <c r="BN22" s="60">
        <f t="shared" si="73"/>
        <v>1</v>
      </c>
      <c r="BO22" s="60">
        <f t="shared" si="73"/>
        <v>1</v>
      </c>
      <c r="BP22" s="60">
        <f t="shared" si="73"/>
        <v>1</v>
      </c>
      <c r="BQ22" s="60">
        <f t="shared" si="73"/>
        <v>1</v>
      </c>
      <c r="BR22" s="60">
        <f t="shared" si="73"/>
        <v>1</v>
      </c>
      <c r="BS22" s="60">
        <f t="shared" si="73"/>
        <v>1</v>
      </c>
      <c r="BT22" s="60"/>
      <c r="BU22" s="60"/>
    </row>
    <row r="23" spans="1:73" ht="15.75" customHeight="1">
      <c r="B23" s="2"/>
      <c r="C23" s="147" t="s">
        <v>541</v>
      </c>
      <c r="D23" s="320">
        <v>45000</v>
      </c>
      <c r="E23" s="3">
        <f>E$6*$D23</f>
        <v>11250</v>
      </c>
      <c r="F23" s="148">
        <f>SUM(D23:E23)</f>
        <v>56250</v>
      </c>
      <c r="G23" s="60"/>
      <c r="H23" s="3">
        <f t="shared" ref="H23:S23" si="74">ROUND(($F23/12)*H24,0)</f>
        <v>0</v>
      </c>
      <c r="I23" s="3">
        <f t="shared" si="74"/>
        <v>0</v>
      </c>
      <c r="J23" s="3">
        <f t="shared" si="74"/>
        <v>0</v>
      </c>
      <c r="K23" s="3">
        <f t="shared" si="74"/>
        <v>0</v>
      </c>
      <c r="L23" s="3">
        <f t="shared" si="74"/>
        <v>0</v>
      </c>
      <c r="M23" s="3">
        <f t="shared" si="74"/>
        <v>0</v>
      </c>
      <c r="N23" s="3">
        <f t="shared" si="74"/>
        <v>0</v>
      </c>
      <c r="O23" s="3">
        <f t="shared" si="74"/>
        <v>0</v>
      </c>
      <c r="P23" s="3">
        <f t="shared" si="74"/>
        <v>0</v>
      </c>
      <c r="Q23" s="3">
        <f t="shared" si="74"/>
        <v>0</v>
      </c>
      <c r="R23" s="3">
        <f t="shared" si="74"/>
        <v>0</v>
      </c>
      <c r="S23" s="3">
        <f t="shared" si="74"/>
        <v>0</v>
      </c>
      <c r="T23" s="3">
        <f>SUM(H23:S23)</f>
        <v>0</v>
      </c>
      <c r="U23" s="3">
        <f t="shared" ref="U23:AF23" si="75">ROUND(($F23/12)*U24,0)</f>
        <v>0</v>
      </c>
      <c r="V23" s="3">
        <f t="shared" si="75"/>
        <v>0</v>
      </c>
      <c r="W23" s="3">
        <f t="shared" si="75"/>
        <v>0</v>
      </c>
      <c r="X23" s="3">
        <f t="shared" si="75"/>
        <v>0</v>
      </c>
      <c r="Y23" s="3">
        <f t="shared" si="75"/>
        <v>0</v>
      </c>
      <c r="Z23" s="3">
        <f t="shared" si="75"/>
        <v>0</v>
      </c>
      <c r="AA23" s="3">
        <f t="shared" si="75"/>
        <v>0</v>
      </c>
      <c r="AB23" s="3">
        <f t="shared" si="75"/>
        <v>0</v>
      </c>
      <c r="AC23" s="3">
        <f t="shared" si="75"/>
        <v>0</v>
      </c>
      <c r="AD23" s="3">
        <f t="shared" si="75"/>
        <v>0</v>
      </c>
      <c r="AE23" s="3">
        <f t="shared" si="75"/>
        <v>0</v>
      </c>
      <c r="AF23" s="3">
        <f t="shared" si="75"/>
        <v>0</v>
      </c>
      <c r="AG23" s="3">
        <f>SUM(U23:AF23)</f>
        <v>0</v>
      </c>
      <c r="AH23" s="3">
        <f t="shared" ref="AH23:AS23" si="76">ROUND(($F23/12)*AH24,0)</f>
        <v>2344</v>
      </c>
      <c r="AI23" s="3">
        <f t="shared" si="76"/>
        <v>2344</v>
      </c>
      <c r="AJ23" s="3">
        <f t="shared" si="76"/>
        <v>2344</v>
      </c>
      <c r="AK23" s="3">
        <f t="shared" si="76"/>
        <v>2344</v>
      </c>
      <c r="AL23" s="3">
        <f t="shared" si="76"/>
        <v>2344</v>
      </c>
      <c r="AM23" s="3">
        <f t="shared" si="76"/>
        <v>2344</v>
      </c>
      <c r="AN23" s="3">
        <f t="shared" si="76"/>
        <v>2344</v>
      </c>
      <c r="AO23" s="3">
        <f t="shared" si="76"/>
        <v>2344</v>
      </c>
      <c r="AP23" s="3">
        <f t="shared" si="76"/>
        <v>2344</v>
      </c>
      <c r="AQ23" s="3">
        <f t="shared" si="76"/>
        <v>2344</v>
      </c>
      <c r="AR23" s="3">
        <f t="shared" si="76"/>
        <v>2344</v>
      </c>
      <c r="AS23" s="3">
        <f t="shared" si="76"/>
        <v>2344</v>
      </c>
      <c r="AT23" s="3">
        <f>SUM(AH23:AS23)</f>
        <v>28128</v>
      </c>
      <c r="AU23" s="3">
        <f t="shared" ref="AU23:BF23" si="77">ROUND(($F23/12)*AU24,0)</f>
        <v>2344</v>
      </c>
      <c r="AV23" s="3">
        <f t="shared" si="77"/>
        <v>2344</v>
      </c>
      <c r="AW23" s="3">
        <f t="shared" si="77"/>
        <v>2344</v>
      </c>
      <c r="AX23" s="3">
        <f t="shared" si="77"/>
        <v>2344</v>
      </c>
      <c r="AY23" s="3">
        <f t="shared" si="77"/>
        <v>2344</v>
      </c>
      <c r="AZ23" s="3">
        <f t="shared" si="77"/>
        <v>2344</v>
      </c>
      <c r="BA23" s="3">
        <f t="shared" si="77"/>
        <v>2344</v>
      </c>
      <c r="BB23" s="3">
        <f t="shared" si="77"/>
        <v>2344</v>
      </c>
      <c r="BC23" s="3">
        <f t="shared" si="77"/>
        <v>2344</v>
      </c>
      <c r="BD23" s="3">
        <f t="shared" si="77"/>
        <v>2344</v>
      </c>
      <c r="BE23" s="3">
        <f t="shared" si="77"/>
        <v>2344</v>
      </c>
      <c r="BF23" s="3">
        <f t="shared" si="77"/>
        <v>2344</v>
      </c>
      <c r="BG23" s="3">
        <f>SUM(AU23:BF23)</f>
        <v>28128</v>
      </c>
      <c r="BH23" s="3">
        <f t="shared" ref="BH23:BS23" si="78">ROUND(($F23/12)*BH24,0)</f>
        <v>3047</v>
      </c>
      <c r="BI23" s="3">
        <f t="shared" si="78"/>
        <v>3047</v>
      </c>
      <c r="BJ23" s="3">
        <f t="shared" si="78"/>
        <v>3047</v>
      </c>
      <c r="BK23" s="3">
        <f t="shared" si="78"/>
        <v>3047</v>
      </c>
      <c r="BL23" s="3">
        <f t="shared" si="78"/>
        <v>3047</v>
      </c>
      <c r="BM23" s="3">
        <f t="shared" si="78"/>
        <v>3047</v>
      </c>
      <c r="BN23" s="3">
        <f t="shared" si="78"/>
        <v>3047</v>
      </c>
      <c r="BO23" s="3">
        <f t="shared" si="78"/>
        <v>3047</v>
      </c>
      <c r="BP23" s="3">
        <f t="shared" si="78"/>
        <v>3047</v>
      </c>
      <c r="BQ23" s="3">
        <f t="shared" si="78"/>
        <v>3047</v>
      </c>
      <c r="BR23" s="3">
        <f t="shared" si="78"/>
        <v>3047</v>
      </c>
      <c r="BS23" s="3">
        <f t="shared" si="78"/>
        <v>3047</v>
      </c>
      <c r="BT23" s="3">
        <f>SUM(BH23:BS23)</f>
        <v>36564</v>
      </c>
      <c r="BU23" s="3">
        <f>T23+AG23+AT23+BG23+BT23</f>
        <v>92820</v>
      </c>
    </row>
    <row r="24" spans="1:73" ht="15.75" customHeight="1">
      <c r="A24" s="2"/>
      <c r="B24" s="2"/>
      <c r="C24" s="2"/>
      <c r="D24" s="38"/>
      <c r="E24" s="3"/>
      <c r="F24" s="60"/>
      <c r="G24" s="60"/>
      <c r="H24" s="319">
        <v>0</v>
      </c>
      <c r="I24" s="60">
        <f t="shared" ref="I24:S24" si="79">H24</f>
        <v>0</v>
      </c>
      <c r="J24" s="60">
        <f>I24</f>
        <v>0</v>
      </c>
      <c r="K24" s="60">
        <f t="shared" si="79"/>
        <v>0</v>
      </c>
      <c r="L24" s="60">
        <f t="shared" si="79"/>
        <v>0</v>
      </c>
      <c r="M24" s="60">
        <f t="shared" si="79"/>
        <v>0</v>
      </c>
      <c r="N24" s="60">
        <f t="shared" si="79"/>
        <v>0</v>
      </c>
      <c r="O24" s="60">
        <f t="shared" si="79"/>
        <v>0</v>
      </c>
      <c r="P24" s="60">
        <f t="shared" si="79"/>
        <v>0</v>
      </c>
      <c r="Q24" s="60">
        <f t="shared" si="79"/>
        <v>0</v>
      </c>
      <c r="R24" s="60">
        <f t="shared" si="79"/>
        <v>0</v>
      </c>
      <c r="S24" s="60">
        <f t="shared" si="79"/>
        <v>0</v>
      </c>
      <c r="T24" s="60"/>
      <c r="U24" s="319">
        <f t="shared" ref="U24:AF24" si="80">T24</f>
        <v>0</v>
      </c>
      <c r="V24" s="60">
        <f t="shared" si="80"/>
        <v>0</v>
      </c>
      <c r="W24" s="60">
        <f t="shared" si="80"/>
        <v>0</v>
      </c>
      <c r="X24" s="60">
        <f t="shared" si="80"/>
        <v>0</v>
      </c>
      <c r="Y24" s="60">
        <f t="shared" si="80"/>
        <v>0</v>
      </c>
      <c r="Z24" s="60">
        <f t="shared" si="80"/>
        <v>0</v>
      </c>
      <c r="AA24" s="60">
        <f t="shared" si="80"/>
        <v>0</v>
      </c>
      <c r="AB24" s="60">
        <f t="shared" si="80"/>
        <v>0</v>
      </c>
      <c r="AC24" s="60">
        <f t="shared" si="80"/>
        <v>0</v>
      </c>
      <c r="AD24" s="60">
        <f t="shared" si="80"/>
        <v>0</v>
      </c>
      <c r="AE24" s="60">
        <f t="shared" si="80"/>
        <v>0</v>
      </c>
      <c r="AF24" s="60">
        <f t="shared" si="80"/>
        <v>0</v>
      </c>
      <c r="AG24" s="60"/>
      <c r="AH24" s="319">
        <v>0.5</v>
      </c>
      <c r="AI24" s="60">
        <f t="shared" ref="AI24:AS24" si="81">AH24</f>
        <v>0.5</v>
      </c>
      <c r="AJ24" s="60">
        <f t="shared" si="81"/>
        <v>0.5</v>
      </c>
      <c r="AK24" s="60">
        <f t="shared" si="81"/>
        <v>0.5</v>
      </c>
      <c r="AL24" s="60">
        <f t="shared" si="81"/>
        <v>0.5</v>
      </c>
      <c r="AM24" s="60">
        <f t="shared" si="81"/>
        <v>0.5</v>
      </c>
      <c r="AN24" s="60">
        <f t="shared" si="81"/>
        <v>0.5</v>
      </c>
      <c r="AO24" s="60">
        <f t="shared" si="81"/>
        <v>0.5</v>
      </c>
      <c r="AP24" s="60">
        <f t="shared" si="81"/>
        <v>0.5</v>
      </c>
      <c r="AQ24" s="60">
        <f t="shared" si="81"/>
        <v>0.5</v>
      </c>
      <c r="AR24" s="60">
        <f t="shared" si="81"/>
        <v>0.5</v>
      </c>
      <c r="AS24" s="60">
        <f t="shared" si="81"/>
        <v>0.5</v>
      </c>
      <c r="AT24" s="60"/>
      <c r="AU24" s="319">
        <v>0.5</v>
      </c>
      <c r="AV24" s="60">
        <f t="shared" ref="AV24:BF24" si="82">AU24</f>
        <v>0.5</v>
      </c>
      <c r="AW24" s="60">
        <f t="shared" si="82"/>
        <v>0.5</v>
      </c>
      <c r="AX24" s="60">
        <f t="shared" si="82"/>
        <v>0.5</v>
      </c>
      <c r="AY24" s="60">
        <f t="shared" si="82"/>
        <v>0.5</v>
      </c>
      <c r="AZ24" s="60">
        <f t="shared" si="82"/>
        <v>0.5</v>
      </c>
      <c r="BA24" s="60">
        <f t="shared" si="82"/>
        <v>0.5</v>
      </c>
      <c r="BB24" s="60">
        <f t="shared" si="82"/>
        <v>0.5</v>
      </c>
      <c r="BC24" s="60">
        <f t="shared" si="82"/>
        <v>0.5</v>
      </c>
      <c r="BD24" s="60">
        <f t="shared" si="82"/>
        <v>0.5</v>
      </c>
      <c r="BE24" s="60">
        <f t="shared" si="82"/>
        <v>0.5</v>
      </c>
      <c r="BF24" s="60">
        <f t="shared" si="82"/>
        <v>0.5</v>
      </c>
      <c r="BG24" s="60"/>
      <c r="BH24" s="319">
        <v>0.65</v>
      </c>
      <c r="BI24" s="60">
        <f t="shared" ref="BI24:BS24" si="83">BH24</f>
        <v>0.65</v>
      </c>
      <c r="BJ24" s="60">
        <f t="shared" si="83"/>
        <v>0.65</v>
      </c>
      <c r="BK24" s="60">
        <f t="shared" si="83"/>
        <v>0.65</v>
      </c>
      <c r="BL24" s="60">
        <f t="shared" si="83"/>
        <v>0.65</v>
      </c>
      <c r="BM24" s="60">
        <f t="shared" si="83"/>
        <v>0.65</v>
      </c>
      <c r="BN24" s="60">
        <f t="shared" si="83"/>
        <v>0.65</v>
      </c>
      <c r="BO24" s="60">
        <f t="shared" si="83"/>
        <v>0.65</v>
      </c>
      <c r="BP24" s="60">
        <f t="shared" si="83"/>
        <v>0.65</v>
      </c>
      <c r="BQ24" s="60">
        <f t="shared" si="83"/>
        <v>0.65</v>
      </c>
      <c r="BR24" s="60">
        <f t="shared" si="83"/>
        <v>0.65</v>
      </c>
      <c r="BS24" s="60">
        <f t="shared" si="83"/>
        <v>0.65</v>
      </c>
      <c r="BT24" s="60"/>
      <c r="BU24" s="60"/>
    </row>
    <row r="25" spans="1:73" ht="15.75" customHeight="1">
      <c r="B25" s="2"/>
      <c r="C25" s="147"/>
      <c r="D25" s="320"/>
      <c r="E25" s="3">
        <f>E$6*$D25</f>
        <v>0</v>
      </c>
      <c r="F25" s="148">
        <f>SUM(D25:E25)</f>
        <v>0</v>
      </c>
      <c r="G25" s="60"/>
      <c r="H25" s="3">
        <f t="shared" ref="H25:S25" si="84">ROUND(($F25/12)*H26,0)</f>
        <v>0</v>
      </c>
      <c r="I25" s="3">
        <f t="shared" si="84"/>
        <v>0</v>
      </c>
      <c r="J25" s="3">
        <f t="shared" si="84"/>
        <v>0</v>
      </c>
      <c r="K25" s="3">
        <f t="shared" si="84"/>
        <v>0</v>
      </c>
      <c r="L25" s="3">
        <f t="shared" si="84"/>
        <v>0</v>
      </c>
      <c r="M25" s="3">
        <f t="shared" si="84"/>
        <v>0</v>
      </c>
      <c r="N25" s="3">
        <f t="shared" si="84"/>
        <v>0</v>
      </c>
      <c r="O25" s="3">
        <f t="shared" si="84"/>
        <v>0</v>
      </c>
      <c r="P25" s="3">
        <f t="shared" si="84"/>
        <v>0</v>
      </c>
      <c r="Q25" s="3">
        <f t="shared" si="84"/>
        <v>0</v>
      </c>
      <c r="R25" s="3">
        <f t="shared" si="84"/>
        <v>0</v>
      </c>
      <c r="S25" s="3">
        <f t="shared" si="84"/>
        <v>0</v>
      </c>
      <c r="T25" s="3">
        <f>SUM(H25:S25)</f>
        <v>0</v>
      </c>
      <c r="U25" s="3">
        <f t="shared" ref="U25:AF25" si="85">ROUND(($F25/12)*U26,0)</f>
        <v>0</v>
      </c>
      <c r="V25" s="77">
        <f t="shared" si="85"/>
        <v>0</v>
      </c>
      <c r="W25" s="77">
        <f t="shared" si="85"/>
        <v>0</v>
      </c>
      <c r="X25" s="77">
        <f t="shared" si="85"/>
        <v>0</v>
      </c>
      <c r="Y25" s="77">
        <f t="shared" si="85"/>
        <v>0</v>
      </c>
      <c r="Z25" s="77">
        <f t="shared" si="85"/>
        <v>0</v>
      </c>
      <c r="AA25" s="77">
        <f t="shared" si="85"/>
        <v>0</v>
      </c>
      <c r="AB25" s="77">
        <f t="shared" si="85"/>
        <v>0</v>
      </c>
      <c r="AC25" s="77">
        <f t="shared" si="85"/>
        <v>0</v>
      </c>
      <c r="AD25" s="77">
        <f t="shared" si="85"/>
        <v>0</v>
      </c>
      <c r="AE25" s="77">
        <f t="shared" si="85"/>
        <v>0</v>
      </c>
      <c r="AF25" s="77">
        <f t="shared" si="85"/>
        <v>0</v>
      </c>
      <c r="AG25" s="77">
        <f>SUM(U25:AF25)</f>
        <v>0</v>
      </c>
      <c r="AH25" s="3">
        <f t="shared" ref="AH25:AS25" si="86">ROUND(($F25/12)*AH26,0)</f>
        <v>0</v>
      </c>
      <c r="AI25" s="77">
        <f t="shared" si="86"/>
        <v>0</v>
      </c>
      <c r="AJ25" s="77">
        <f t="shared" si="86"/>
        <v>0</v>
      </c>
      <c r="AK25" s="77">
        <f t="shared" si="86"/>
        <v>0</v>
      </c>
      <c r="AL25" s="77">
        <f t="shared" si="86"/>
        <v>0</v>
      </c>
      <c r="AM25" s="77">
        <f t="shared" si="86"/>
        <v>0</v>
      </c>
      <c r="AN25" s="77">
        <f t="shared" si="86"/>
        <v>0</v>
      </c>
      <c r="AO25" s="77">
        <f t="shared" si="86"/>
        <v>0</v>
      </c>
      <c r="AP25" s="77">
        <f t="shared" si="86"/>
        <v>0</v>
      </c>
      <c r="AQ25" s="77">
        <f t="shared" si="86"/>
        <v>0</v>
      </c>
      <c r="AR25" s="77">
        <f t="shared" si="86"/>
        <v>0</v>
      </c>
      <c r="AS25" s="77">
        <f t="shared" si="86"/>
        <v>0</v>
      </c>
      <c r="AT25" s="77">
        <f>SUM(AH25:AS25)</f>
        <v>0</v>
      </c>
      <c r="AU25" s="3">
        <f t="shared" ref="AU25:BF25" si="87">ROUND(($F25/12)*AU26,0)</f>
        <v>0</v>
      </c>
      <c r="AV25" s="77">
        <f t="shared" si="87"/>
        <v>0</v>
      </c>
      <c r="AW25" s="77">
        <f t="shared" si="87"/>
        <v>0</v>
      </c>
      <c r="AX25" s="77">
        <f t="shared" si="87"/>
        <v>0</v>
      </c>
      <c r="AY25" s="77">
        <f t="shared" si="87"/>
        <v>0</v>
      </c>
      <c r="AZ25" s="77">
        <f t="shared" si="87"/>
        <v>0</v>
      </c>
      <c r="BA25" s="77">
        <f t="shared" si="87"/>
        <v>0</v>
      </c>
      <c r="BB25" s="77">
        <f t="shared" si="87"/>
        <v>0</v>
      </c>
      <c r="BC25" s="77">
        <f t="shared" si="87"/>
        <v>0</v>
      </c>
      <c r="BD25" s="77">
        <f t="shared" si="87"/>
        <v>0</v>
      </c>
      <c r="BE25" s="77">
        <f t="shared" si="87"/>
        <v>0</v>
      </c>
      <c r="BF25" s="77">
        <f t="shared" si="87"/>
        <v>0</v>
      </c>
      <c r="BG25" s="77">
        <f>SUM(AU25:BF25)</f>
        <v>0</v>
      </c>
      <c r="BH25" s="3">
        <f t="shared" ref="BH25:BS25" si="88">ROUND(($F25/12)*BH26,0)</f>
        <v>0</v>
      </c>
      <c r="BI25" s="77">
        <f t="shared" si="88"/>
        <v>0</v>
      </c>
      <c r="BJ25" s="77">
        <f t="shared" si="88"/>
        <v>0</v>
      </c>
      <c r="BK25" s="77">
        <f t="shared" si="88"/>
        <v>0</v>
      </c>
      <c r="BL25" s="77">
        <f t="shared" si="88"/>
        <v>0</v>
      </c>
      <c r="BM25" s="77">
        <f t="shared" si="88"/>
        <v>0</v>
      </c>
      <c r="BN25" s="77">
        <f t="shared" si="88"/>
        <v>0</v>
      </c>
      <c r="BO25" s="77">
        <f t="shared" si="88"/>
        <v>0</v>
      </c>
      <c r="BP25" s="77">
        <f t="shared" si="88"/>
        <v>0</v>
      </c>
      <c r="BQ25" s="77">
        <f t="shared" si="88"/>
        <v>0</v>
      </c>
      <c r="BR25" s="77">
        <f t="shared" si="88"/>
        <v>0</v>
      </c>
      <c r="BS25" s="77">
        <f t="shared" si="88"/>
        <v>0</v>
      </c>
      <c r="BT25" s="77">
        <f>SUM(BH25:BS25)</f>
        <v>0</v>
      </c>
      <c r="BU25" s="3">
        <f>T25+AG25+AT25+BG25+BT25</f>
        <v>0</v>
      </c>
    </row>
    <row r="26" spans="1:73" ht="15.75" customHeight="1">
      <c r="A26" s="2"/>
      <c r="B26" s="2"/>
      <c r="C26" s="2"/>
      <c r="D26" s="38"/>
      <c r="E26" s="2"/>
      <c r="F26" s="60"/>
      <c r="G26" s="60"/>
      <c r="H26" s="319">
        <v>0</v>
      </c>
      <c r="I26" s="60">
        <f t="shared" ref="I26:S26" si="89">H26</f>
        <v>0</v>
      </c>
      <c r="J26" s="60">
        <f t="shared" si="89"/>
        <v>0</v>
      </c>
      <c r="K26" s="60">
        <f t="shared" si="89"/>
        <v>0</v>
      </c>
      <c r="L26" s="60">
        <f t="shared" si="89"/>
        <v>0</v>
      </c>
      <c r="M26" s="60">
        <f t="shared" si="89"/>
        <v>0</v>
      </c>
      <c r="N26" s="60">
        <f t="shared" si="89"/>
        <v>0</v>
      </c>
      <c r="O26" s="60">
        <f t="shared" si="89"/>
        <v>0</v>
      </c>
      <c r="P26" s="60">
        <f t="shared" si="89"/>
        <v>0</v>
      </c>
      <c r="Q26" s="60">
        <f t="shared" si="89"/>
        <v>0</v>
      </c>
      <c r="R26" s="60">
        <f t="shared" si="89"/>
        <v>0</v>
      </c>
      <c r="S26" s="60">
        <f t="shared" si="89"/>
        <v>0</v>
      </c>
      <c r="T26" s="60"/>
      <c r="U26" s="319">
        <f t="shared" ref="U26:AF26" si="90">T26</f>
        <v>0</v>
      </c>
      <c r="V26" s="60">
        <f t="shared" si="90"/>
        <v>0</v>
      </c>
      <c r="W26" s="60">
        <f t="shared" si="90"/>
        <v>0</v>
      </c>
      <c r="X26" s="60">
        <f t="shared" si="90"/>
        <v>0</v>
      </c>
      <c r="Y26" s="60">
        <f t="shared" si="90"/>
        <v>0</v>
      </c>
      <c r="Z26" s="60">
        <f t="shared" si="90"/>
        <v>0</v>
      </c>
      <c r="AA26" s="60">
        <f t="shared" si="90"/>
        <v>0</v>
      </c>
      <c r="AB26" s="60">
        <f t="shared" si="90"/>
        <v>0</v>
      </c>
      <c r="AC26" s="60">
        <f t="shared" si="90"/>
        <v>0</v>
      </c>
      <c r="AD26" s="60">
        <f t="shared" si="90"/>
        <v>0</v>
      </c>
      <c r="AE26" s="60">
        <f t="shared" si="90"/>
        <v>0</v>
      </c>
      <c r="AF26" s="60">
        <f t="shared" si="90"/>
        <v>0</v>
      </c>
      <c r="AG26" s="60"/>
      <c r="AH26" s="319">
        <f t="shared" ref="AH26:AS26" si="91">AG26</f>
        <v>0</v>
      </c>
      <c r="AI26" s="60">
        <f t="shared" si="91"/>
        <v>0</v>
      </c>
      <c r="AJ26" s="60">
        <f t="shared" si="91"/>
        <v>0</v>
      </c>
      <c r="AK26" s="60">
        <f t="shared" si="91"/>
        <v>0</v>
      </c>
      <c r="AL26" s="60">
        <f t="shared" si="91"/>
        <v>0</v>
      </c>
      <c r="AM26" s="60">
        <f t="shared" si="91"/>
        <v>0</v>
      </c>
      <c r="AN26" s="60">
        <f t="shared" si="91"/>
        <v>0</v>
      </c>
      <c r="AO26" s="60">
        <f t="shared" si="91"/>
        <v>0</v>
      </c>
      <c r="AP26" s="60">
        <f t="shared" si="91"/>
        <v>0</v>
      </c>
      <c r="AQ26" s="60">
        <f t="shared" si="91"/>
        <v>0</v>
      </c>
      <c r="AR26" s="60">
        <f t="shared" si="91"/>
        <v>0</v>
      </c>
      <c r="AS26" s="60">
        <f t="shared" si="91"/>
        <v>0</v>
      </c>
      <c r="AT26" s="60"/>
      <c r="AU26" s="319">
        <f t="shared" ref="AU26:BF26" si="92">AT26</f>
        <v>0</v>
      </c>
      <c r="AV26" s="60">
        <f t="shared" si="92"/>
        <v>0</v>
      </c>
      <c r="AW26" s="60">
        <f t="shared" si="92"/>
        <v>0</v>
      </c>
      <c r="AX26" s="60">
        <f t="shared" si="92"/>
        <v>0</v>
      </c>
      <c r="AY26" s="60">
        <f t="shared" si="92"/>
        <v>0</v>
      </c>
      <c r="AZ26" s="60">
        <f t="shared" si="92"/>
        <v>0</v>
      </c>
      <c r="BA26" s="60">
        <f t="shared" si="92"/>
        <v>0</v>
      </c>
      <c r="BB26" s="60">
        <f t="shared" si="92"/>
        <v>0</v>
      </c>
      <c r="BC26" s="60">
        <f t="shared" si="92"/>
        <v>0</v>
      </c>
      <c r="BD26" s="60">
        <f t="shared" si="92"/>
        <v>0</v>
      </c>
      <c r="BE26" s="60">
        <f t="shared" si="92"/>
        <v>0</v>
      </c>
      <c r="BF26" s="60">
        <f t="shared" si="92"/>
        <v>0</v>
      </c>
      <c r="BG26" s="60"/>
      <c r="BH26" s="319">
        <f t="shared" ref="BH26:BS26" si="93">BG26</f>
        <v>0</v>
      </c>
      <c r="BI26" s="60">
        <f t="shared" si="93"/>
        <v>0</v>
      </c>
      <c r="BJ26" s="60">
        <f t="shared" si="93"/>
        <v>0</v>
      </c>
      <c r="BK26" s="60">
        <f t="shared" si="93"/>
        <v>0</v>
      </c>
      <c r="BL26" s="60">
        <f t="shared" si="93"/>
        <v>0</v>
      </c>
      <c r="BM26" s="60">
        <f t="shared" si="93"/>
        <v>0</v>
      </c>
      <c r="BN26" s="60">
        <f t="shared" si="93"/>
        <v>0</v>
      </c>
      <c r="BO26" s="60">
        <f t="shared" si="93"/>
        <v>0</v>
      </c>
      <c r="BP26" s="60">
        <f t="shared" si="93"/>
        <v>0</v>
      </c>
      <c r="BQ26" s="60">
        <f t="shared" si="93"/>
        <v>0</v>
      </c>
      <c r="BR26" s="60">
        <f t="shared" si="93"/>
        <v>0</v>
      </c>
      <c r="BS26" s="60">
        <f t="shared" si="93"/>
        <v>0</v>
      </c>
      <c r="BT26" s="60"/>
      <c r="BU26" s="60"/>
    </row>
    <row r="27" spans="1:73" ht="15.75" customHeight="1">
      <c r="B27" s="2"/>
      <c r="C27" s="147"/>
      <c r="D27" s="320">
        <v>0</v>
      </c>
      <c r="E27" s="3">
        <f>$E26*D$7</f>
        <v>0</v>
      </c>
      <c r="F27" s="148">
        <f>SUM(D27:E27)</f>
        <v>0</v>
      </c>
      <c r="G27" s="60"/>
      <c r="H27" s="77">
        <f t="shared" ref="H27:S27" si="94">ROUND(($F27/12)*H28,0)</f>
        <v>0</v>
      </c>
      <c r="I27" s="77">
        <f t="shared" si="94"/>
        <v>0</v>
      </c>
      <c r="J27" s="77">
        <f t="shared" si="94"/>
        <v>0</v>
      </c>
      <c r="K27" s="77">
        <f t="shared" si="94"/>
        <v>0</v>
      </c>
      <c r="L27" s="77">
        <f t="shared" si="94"/>
        <v>0</v>
      </c>
      <c r="M27" s="77">
        <f t="shared" si="94"/>
        <v>0</v>
      </c>
      <c r="N27" s="77">
        <f t="shared" si="94"/>
        <v>0</v>
      </c>
      <c r="O27" s="77">
        <f t="shared" si="94"/>
        <v>0</v>
      </c>
      <c r="P27" s="77">
        <f t="shared" si="94"/>
        <v>0</v>
      </c>
      <c r="Q27" s="77">
        <f t="shared" si="94"/>
        <v>0</v>
      </c>
      <c r="R27" s="77">
        <f t="shared" si="94"/>
        <v>0</v>
      </c>
      <c r="S27" s="77">
        <f t="shared" si="94"/>
        <v>0</v>
      </c>
      <c r="T27" s="77">
        <f>SUM(H27:S27)</f>
        <v>0</v>
      </c>
      <c r="U27" s="77">
        <f t="shared" ref="U27:AF27" si="95">ROUND(($F27/12)*U28,0)</f>
        <v>0</v>
      </c>
      <c r="V27" s="77">
        <f t="shared" si="95"/>
        <v>0</v>
      </c>
      <c r="W27" s="77">
        <f t="shared" si="95"/>
        <v>0</v>
      </c>
      <c r="X27" s="77">
        <f t="shared" si="95"/>
        <v>0</v>
      </c>
      <c r="Y27" s="77">
        <f t="shared" si="95"/>
        <v>0</v>
      </c>
      <c r="Z27" s="77">
        <f t="shared" si="95"/>
        <v>0</v>
      </c>
      <c r="AA27" s="77">
        <f t="shared" si="95"/>
        <v>0</v>
      </c>
      <c r="AB27" s="77">
        <f t="shared" si="95"/>
        <v>0</v>
      </c>
      <c r="AC27" s="77">
        <f t="shared" si="95"/>
        <v>0</v>
      </c>
      <c r="AD27" s="77">
        <f t="shared" si="95"/>
        <v>0</v>
      </c>
      <c r="AE27" s="77">
        <f t="shared" si="95"/>
        <v>0</v>
      </c>
      <c r="AF27" s="77">
        <f t="shared" si="95"/>
        <v>0</v>
      </c>
      <c r="AG27" s="77">
        <f>SUM(U27:AF27)</f>
        <v>0</v>
      </c>
      <c r="AH27" s="77">
        <f t="shared" ref="AH27:AS27" si="96">ROUND(($F27/12)*AH28,0)</f>
        <v>0</v>
      </c>
      <c r="AI27" s="77">
        <f t="shared" si="96"/>
        <v>0</v>
      </c>
      <c r="AJ27" s="77">
        <f t="shared" si="96"/>
        <v>0</v>
      </c>
      <c r="AK27" s="77">
        <f t="shared" si="96"/>
        <v>0</v>
      </c>
      <c r="AL27" s="77">
        <f t="shared" si="96"/>
        <v>0</v>
      </c>
      <c r="AM27" s="77">
        <f t="shared" si="96"/>
        <v>0</v>
      </c>
      <c r="AN27" s="77">
        <f t="shared" si="96"/>
        <v>0</v>
      </c>
      <c r="AO27" s="77">
        <f t="shared" si="96"/>
        <v>0</v>
      </c>
      <c r="AP27" s="77">
        <f t="shared" si="96"/>
        <v>0</v>
      </c>
      <c r="AQ27" s="77">
        <f t="shared" si="96"/>
        <v>0</v>
      </c>
      <c r="AR27" s="77">
        <f t="shared" si="96"/>
        <v>0</v>
      </c>
      <c r="AS27" s="77">
        <f t="shared" si="96"/>
        <v>0</v>
      </c>
      <c r="AT27" s="77">
        <f>SUM(AH27:AS27)</f>
        <v>0</v>
      </c>
      <c r="AU27" s="77">
        <f t="shared" ref="AU27:BF27" si="97">ROUND(($F27/12)*AU28,0)</f>
        <v>0</v>
      </c>
      <c r="AV27" s="77">
        <f t="shared" si="97"/>
        <v>0</v>
      </c>
      <c r="AW27" s="77">
        <f t="shared" si="97"/>
        <v>0</v>
      </c>
      <c r="AX27" s="77">
        <f t="shared" si="97"/>
        <v>0</v>
      </c>
      <c r="AY27" s="77">
        <f t="shared" si="97"/>
        <v>0</v>
      </c>
      <c r="AZ27" s="77">
        <f t="shared" si="97"/>
        <v>0</v>
      </c>
      <c r="BA27" s="77">
        <f t="shared" si="97"/>
        <v>0</v>
      </c>
      <c r="BB27" s="77">
        <f t="shared" si="97"/>
        <v>0</v>
      </c>
      <c r="BC27" s="77">
        <f t="shared" si="97"/>
        <v>0</v>
      </c>
      <c r="BD27" s="77">
        <f t="shared" si="97"/>
        <v>0</v>
      </c>
      <c r="BE27" s="77">
        <f t="shared" si="97"/>
        <v>0</v>
      </c>
      <c r="BF27" s="77">
        <f t="shared" si="97"/>
        <v>0</v>
      </c>
      <c r="BG27" s="77">
        <f>SUM(AU27:BF27)</f>
        <v>0</v>
      </c>
      <c r="BH27" s="77">
        <f t="shared" ref="BH27:BS27" si="98">ROUND(($F27/12)*BH28,0)</f>
        <v>0</v>
      </c>
      <c r="BI27" s="77">
        <f t="shared" si="98"/>
        <v>0</v>
      </c>
      <c r="BJ27" s="77">
        <f t="shared" si="98"/>
        <v>0</v>
      </c>
      <c r="BK27" s="77">
        <f t="shared" si="98"/>
        <v>0</v>
      </c>
      <c r="BL27" s="77">
        <f t="shared" si="98"/>
        <v>0</v>
      </c>
      <c r="BM27" s="77">
        <f t="shared" si="98"/>
        <v>0</v>
      </c>
      <c r="BN27" s="77">
        <f t="shared" si="98"/>
        <v>0</v>
      </c>
      <c r="BO27" s="77">
        <f t="shared" si="98"/>
        <v>0</v>
      </c>
      <c r="BP27" s="77">
        <f t="shared" si="98"/>
        <v>0</v>
      </c>
      <c r="BQ27" s="77">
        <f t="shared" si="98"/>
        <v>0</v>
      </c>
      <c r="BR27" s="77">
        <f t="shared" si="98"/>
        <v>0</v>
      </c>
      <c r="BS27" s="77">
        <f t="shared" si="98"/>
        <v>0</v>
      </c>
      <c r="BT27" s="77">
        <f>SUM(BH27:BS27)</f>
        <v>0</v>
      </c>
      <c r="BU27" s="3">
        <f>T27+AG27+AT27+BG27+BT27</f>
        <v>0</v>
      </c>
    </row>
    <row r="28" spans="1:73" ht="15.75" customHeight="1">
      <c r="A28" s="2"/>
      <c r="B28" s="2"/>
      <c r="C28" s="2"/>
      <c r="D28" s="38"/>
      <c r="E28" s="2"/>
      <c r="F28" s="60"/>
      <c r="G28" s="60"/>
      <c r="H28" s="319">
        <v>0</v>
      </c>
      <c r="I28" s="60">
        <f t="shared" ref="I28:S28" si="99">H28</f>
        <v>0</v>
      </c>
      <c r="J28" s="60">
        <f t="shared" si="99"/>
        <v>0</v>
      </c>
      <c r="K28" s="60">
        <f t="shared" si="99"/>
        <v>0</v>
      </c>
      <c r="L28" s="60">
        <f t="shared" si="99"/>
        <v>0</v>
      </c>
      <c r="M28" s="60">
        <f t="shared" si="99"/>
        <v>0</v>
      </c>
      <c r="N28" s="60">
        <f t="shared" si="99"/>
        <v>0</v>
      </c>
      <c r="O28" s="60">
        <f t="shared" si="99"/>
        <v>0</v>
      </c>
      <c r="P28" s="60">
        <f t="shared" si="99"/>
        <v>0</v>
      </c>
      <c r="Q28" s="60">
        <f t="shared" si="99"/>
        <v>0</v>
      </c>
      <c r="R28" s="60">
        <f t="shared" si="99"/>
        <v>0</v>
      </c>
      <c r="S28" s="60">
        <f t="shared" si="99"/>
        <v>0</v>
      </c>
      <c r="T28" s="60"/>
      <c r="U28" s="319">
        <f t="shared" ref="U28:AF28" si="100">T28</f>
        <v>0</v>
      </c>
      <c r="V28" s="60">
        <f t="shared" si="100"/>
        <v>0</v>
      </c>
      <c r="W28" s="60">
        <f t="shared" si="100"/>
        <v>0</v>
      </c>
      <c r="X28" s="60">
        <f t="shared" si="100"/>
        <v>0</v>
      </c>
      <c r="Y28" s="60">
        <f t="shared" si="100"/>
        <v>0</v>
      </c>
      <c r="Z28" s="60">
        <f t="shared" si="100"/>
        <v>0</v>
      </c>
      <c r="AA28" s="60">
        <f t="shared" si="100"/>
        <v>0</v>
      </c>
      <c r="AB28" s="60">
        <f t="shared" si="100"/>
        <v>0</v>
      </c>
      <c r="AC28" s="60">
        <f t="shared" si="100"/>
        <v>0</v>
      </c>
      <c r="AD28" s="60">
        <f t="shared" si="100"/>
        <v>0</v>
      </c>
      <c r="AE28" s="60">
        <f t="shared" si="100"/>
        <v>0</v>
      </c>
      <c r="AF28" s="60">
        <f t="shared" si="100"/>
        <v>0</v>
      </c>
      <c r="AG28" s="60"/>
      <c r="AH28" s="319">
        <f t="shared" ref="AH28:AS28" si="101">AG28</f>
        <v>0</v>
      </c>
      <c r="AI28" s="60">
        <f t="shared" si="101"/>
        <v>0</v>
      </c>
      <c r="AJ28" s="60">
        <f t="shared" si="101"/>
        <v>0</v>
      </c>
      <c r="AK28" s="60">
        <f t="shared" si="101"/>
        <v>0</v>
      </c>
      <c r="AL28" s="60">
        <f t="shared" si="101"/>
        <v>0</v>
      </c>
      <c r="AM28" s="60">
        <f t="shared" si="101"/>
        <v>0</v>
      </c>
      <c r="AN28" s="60">
        <f t="shared" si="101"/>
        <v>0</v>
      </c>
      <c r="AO28" s="60">
        <f t="shared" si="101"/>
        <v>0</v>
      </c>
      <c r="AP28" s="60">
        <f t="shared" si="101"/>
        <v>0</v>
      </c>
      <c r="AQ28" s="60">
        <f t="shared" si="101"/>
        <v>0</v>
      </c>
      <c r="AR28" s="60">
        <f t="shared" si="101"/>
        <v>0</v>
      </c>
      <c r="AS28" s="60">
        <f t="shared" si="101"/>
        <v>0</v>
      </c>
      <c r="AT28" s="60"/>
      <c r="AU28" s="319">
        <f t="shared" ref="AU28:BF28" si="102">AT28</f>
        <v>0</v>
      </c>
      <c r="AV28" s="60">
        <f t="shared" si="102"/>
        <v>0</v>
      </c>
      <c r="AW28" s="60">
        <f t="shared" si="102"/>
        <v>0</v>
      </c>
      <c r="AX28" s="60">
        <f t="shared" si="102"/>
        <v>0</v>
      </c>
      <c r="AY28" s="60">
        <f t="shared" si="102"/>
        <v>0</v>
      </c>
      <c r="AZ28" s="60">
        <f t="shared" si="102"/>
        <v>0</v>
      </c>
      <c r="BA28" s="60">
        <f t="shared" si="102"/>
        <v>0</v>
      </c>
      <c r="BB28" s="60">
        <f t="shared" si="102"/>
        <v>0</v>
      </c>
      <c r="BC28" s="60">
        <f t="shared" si="102"/>
        <v>0</v>
      </c>
      <c r="BD28" s="60">
        <f t="shared" si="102"/>
        <v>0</v>
      </c>
      <c r="BE28" s="60">
        <f t="shared" si="102"/>
        <v>0</v>
      </c>
      <c r="BF28" s="60">
        <f t="shared" si="102"/>
        <v>0</v>
      </c>
      <c r="BG28" s="60"/>
      <c r="BH28" s="319">
        <f t="shared" ref="BH28:BS28" si="103">BG28</f>
        <v>0</v>
      </c>
      <c r="BI28" s="60">
        <f t="shared" si="103"/>
        <v>0</v>
      </c>
      <c r="BJ28" s="60">
        <f t="shared" si="103"/>
        <v>0</v>
      </c>
      <c r="BK28" s="60">
        <f t="shared" si="103"/>
        <v>0</v>
      </c>
      <c r="BL28" s="60">
        <f t="shared" si="103"/>
        <v>0</v>
      </c>
      <c r="BM28" s="60">
        <f t="shared" si="103"/>
        <v>0</v>
      </c>
      <c r="BN28" s="60">
        <f t="shared" si="103"/>
        <v>0</v>
      </c>
      <c r="BO28" s="60">
        <f t="shared" si="103"/>
        <v>0</v>
      </c>
      <c r="BP28" s="60">
        <f t="shared" si="103"/>
        <v>0</v>
      </c>
      <c r="BQ28" s="60">
        <f t="shared" si="103"/>
        <v>0</v>
      </c>
      <c r="BR28" s="60">
        <f t="shared" si="103"/>
        <v>0</v>
      </c>
      <c r="BS28" s="60">
        <f t="shared" si="103"/>
        <v>0</v>
      </c>
      <c r="BT28" s="60"/>
      <c r="BU28" s="60"/>
    </row>
    <row r="29" spans="1:73" ht="15.75" customHeight="1">
      <c r="B29" s="2"/>
      <c r="C29" s="147"/>
      <c r="D29" s="320">
        <v>0</v>
      </c>
      <c r="E29" s="3">
        <f>$E28*D$7</f>
        <v>0</v>
      </c>
      <c r="F29" s="148">
        <f>SUM(D29:E29)</f>
        <v>0</v>
      </c>
      <c r="G29" s="60"/>
      <c r="H29" s="77">
        <f t="shared" ref="H29:S29" si="104">ROUND(($F29/12)*H30,0)</f>
        <v>0</v>
      </c>
      <c r="I29" s="77">
        <f t="shared" si="104"/>
        <v>0</v>
      </c>
      <c r="J29" s="77">
        <f t="shared" si="104"/>
        <v>0</v>
      </c>
      <c r="K29" s="77">
        <f t="shared" si="104"/>
        <v>0</v>
      </c>
      <c r="L29" s="77">
        <f t="shared" si="104"/>
        <v>0</v>
      </c>
      <c r="M29" s="77">
        <f t="shared" si="104"/>
        <v>0</v>
      </c>
      <c r="N29" s="77">
        <f t="shared" si="104"/>
        <v>0</v>
      </c>
      <c r="O29" s="77">
        <f t="shared" si="104"/>
        <v>0</v>
      </c>
      <c r="P29" s="77">
        <f t="shared" si="104"/>
        <v>0</v>
      </c>
      <c r="Q29" s="77">
        <f t="shared" si="104"/>
        <v>0</v>
      </c>
      <c r="R29" s="77">
        <f t="shared" si="104"/>
        <v>0</v>
      </c>
      <c r="S29" s="77">
        <f t="shared" si="104"/>
        <v>0</v>
      </c>
      <c r="T29" s="77">
        <f>SUM(H29:S29)</f>
        <v>0</v>
      </c>
      <c r="U29" s="77">
        <f t="shared" ref="U29:AF29" si="105">ROUND(($F29/12)*U30,0)</f>
        <v>0</v>
      </c>
      <c r="V29" s="77">
        <f t="shared" si="105"/>
        <v>0</v>
      </c>
      <c r="W29" s="77">
        <f t="shared" si="105"/>
        <v>0</v>
      </c>
      <c r="X29" s="77">
        <f t="shared" si="105"/>
        <v>0</v>
      </c>
      <c r="Y29" s="77">
        <f t="shared" si="105"/>
        <v>0</v>
      </c>
      <c r="Z29" s="77">
        <f t="shared" si="105"/>
        <v>0</v>
      </c>
      <c r="AA29" s="77">
        <f t="shared" si="105"/>
        <v>0</v>
      </c>
      <c r="AB29" s="77">
        <f t="shared" si="105"/>
        <v>0</v>
      </c>
      <c r="AC29" s="77">
        <f t="shared" si="105"/>
        <v>0</v>
      </c>
      <c r="AD29" s="77">
        <f t="shared" si="105"/>
        <v>0</v>
      </c>
      <c r="AE29" s="77">
        <f t="shared" si="105"/>
        <v>0</v>
      </c>
      <c r="AF29" s="77">
        <f t="shared" si="105"/>
        <v>0</v>
      </c>
      <c r="AG29" s="77">
        <f>SUM(U29:AF29)</f>
        <v>0</v>
      </c>
      <c r="AH29" s="77">
        <f t="shared" ref="AH29:AS29" si="106">ROUND(($F29/12)*AH30,0)</f>
        <v>0</v>
      </c>
      <c r="AI29" s="77">
        <f t="shared" si="106"/>
        <v>0</v>
      </c>
      <c r="AJ29" s="77">
        <f t="shared" si="106"/>
        <v>0</v>
      </c>
      <c r="AK29" s="77">
        <f t="shared" si="106"/>
        <v>0</v>
      </c>
      <c r="AL29" s="77">
        <f t="shared" si="106"/>
        <v>0</v>
      </c>
      <c r="AM29" s="77">
        <f t="shared" si="106"/>
        <v>0</v>
      </c>
      <c r="AN29" s="77">
        <f t="shared" si="106"/>
        <v>0</v>
      </c>
      <c r="AO29" s="77">
        <f t="shared" si="106"/>
        <v>0</v>
      </c>
      <c r="AP29" s="77">
        <f t="shared" si="106"/>
        <v>0</v>
      </c>
      <c r="AQ29" s="77">
        <f t="shared" si="106"/>
        <v>0</v>
      </c>
      <c r="AR29" s="77">
        <f t="shared" si="106"/>
        <v>0</v>
      </c>
      <c r="AS29" s="77">
        <f t="shared" si="106"/>
        <v>0</v>
      </c>
      <c r="AT29" s="77">
        <f>SUM(AH29:AS29)</f>
        <v>0</v>
      </c>
      <c r="AU29" s="77">
        <f t="shared" ref="AU29:BF29" si="107">ROUND(($F29/12)*AU30,0)</f>
        <v>0</v>
      </c>
      <c r="AV29" s="77">
        <f t="shared" si="107"/>
        <v>0</v>
      </c>
      <c r="AW29" s="77">
        <f t="shared" si="107"/>
        <v>0</v>
      </c>
      <c r="AX29" s="77">
        <f t="shared" si="107"/>
        <v>0</v>
      </c>
      <c r="AY29" s="77">
        <f t="shared" si="107"/>
        <v>0</v>
      </c>
      <c r="AZ29" s="77">
        <f t="shared" si="107"/>
        <v>0</v>
      </c>
      <c r="BA29" s="77">
        <f t="shared" si="107"/>
        <v>0</v>
      </c>
      <c r="BB29" s="77">
        <f t="shared" si="107"/>
        <v>0</v>
      </c>
      <c r="BC29" s="77">
        <f t="shared" si="107"/>
        <v>0</v>
      </c>
      <c r="BD29" s="77">
        <f t="shared" si="107"/>
        <v>0</v>
      </c>
      <c r="BE29" s="77">
        <f t="shared" si="107"/>
        <v>0</v>
      </c>
      <c r="BF29" s="77">
        <f t="shared" si="107"/>
        <v>0</v>
      </c>
      <c r="BG29" s="77">
        <f>SUM(AU29:BF29)</f>
        <v>0</v>
      </c>
      <c r="BH29" s="77">
        <f t="shared" ref="BH29:BS29" si="108">ROUND(($F29/12)*BH30,0)</f>
        <v>0</v>
      </c>
      <c r="BI29" s="77">
        <f t="shared" si="108"/>
        <v>0</v>
      </c>
      <c r="BJ29" s="77">
        <f t="shared" si="108"/>
        <v>0</v>
      </c>
      <c r="BK29" s="77">
        <f t="shared" si="108"/>
        <v>0</v>
      </c>
      <c r="BL29" s="77">
        <f t="shared" si="108"/>
        <v>0</v>
      </c>
      <c r="BM29" s="77">
        <f t="shared" si="108"/>
        <v>0</v>
      </c>
      <c r="BN29" s="77">
        <f t="shared" si="108"/>
        <v>0</v>
      </c>
      <c r="BO29" s="77">
        <f t="shared" si="108"/>
        <v>0</v>
      </c>
      <c r="BP29" s="77">
        <f t="shared" si="108"/>
        <v>0</v>
      </c>
      <c r="BQ29" s="77">
        <f t="shared" si="108"/>
        <v>0</v>
      </c>
      <c r="BR29" s="77">
        <f t="shared" si="108"/>
        <v>0</v>
      </c>
      <c r="BS29" s="77">
        <f t="shared" si="108"/>
        <v>0</v>
      </c>
      <c r="BT29" s="77">
        <f>SUM(BH29:BS29)</f>
        <v>0</v>
      </c>
      <c r="BU29" s="3">
        <f>T29+AG29+AT29+BG29+BT29</f>
        <v>0</v>
      </c>
    </row>
    <row r="30" spans="1:73" ht="15.75" customHeight="1">
      <c r="A30" s="2"/>
      <c r="B30" s="2"/>
      <c r="C30" s="2"/>
      <c r="D30" s="38"/>
      <c r="E30" s="2"/>
      <c r="F30" s="60"/>
      <c r="G30" s="60"/>
      <c r="H30" s="319">
        <v>0</v>
      </c>
      <c r="I30" s="60">
        <f t="shared" ref="I30:S30" si="109">H30</f>
        <v>0</v>
      </c>
      <c r="J30" s="60">
        <f t="shared" si="109"/>
        <v>0</v>
      </c>
      <c r="K30" s="60">
        <f t="shared" si="109"/>
        <v>0</v>
      </c>
      <c r="L30" s="60">
        <f t="shared" si="109"/>
        <v>0</v>
      </c>
      <c r="M30" s="60">
        <f t="shared" si="109"/>
        <v>0</v>
      </c>
      <c r="N30" s="60">
        <f t="shared" si="109"/>
        <v>0</v>
      </c>
      <c r="O30" s="60">
        <f t="shared" si="109"/>
        <v>0</v>
      </c>
      <c r="P30" s="60">
        <f t="shared" si="109"/>
        <v>0</v>
      </c>
      <c r="Q30" s="60">
        <f t="shared" si="109"/>
        <v>0</v>
      </c>
      <c r="R30" s="60">
        <f t="shared" si="109"/>
        <v>0</v>
      </c>
      <c r="S30" s="60">
        <f t="shared" si="109"/>
        <v>0</v>
      </c>
      <c r="T30" s="60"/>
      <c r="U30" s="319">
        <f t="shared" ref="U30:AF30" si="110">T30</f>
        <v>0</v>
      </c>
      <c r="V30" s="60">
        <f t="shared" si="110"/>
        <v>0</v>
      </c>
      <c r="W30" s="60">
        <f t="shared" si="110"/>
        <v>0</v>
      </c>
      <c r="X30" s="60">
        <f t="shared" si="110"/>
        <v>0</v>
      </c>
      <c r="Y30" s="60">
        <f t="shared" si="110"/>
        <v>0</v>
      </c>
      <c r="Z30" s="60">
        <f t="shared" si="110"/>
        <v>0</v>
      </c>
      <c r="AA30" s="60">
        <f t="shared" si="110"/>
        <v>0</v>
      </c>
      <c r="AB30" s="60">
        <f t="shared" si="110"/>
        <v>0</v>
      </c>
      <c r="AC30" s="60">
        <f t="shared" si="110"/>
        <v>0</v>
      </c>
      <c r="AD30" s="60">
        <f t="shared" si="110"/>
        <v>0</v>
      </c>
      <c r="AE30" s="60">
        <f t="shared" si="110"/>
        <v>0</v>
      </c>
      <c r="AF30" s="60">
        <f t="shared" si="110"/>
        <v>0</v>
      </c>
      <c r="AG30" s="60"/>
      <c r="AH30" s="319">
        <f t="shared" ref="AH30:AS30" si="111">AG30</f>
        <v>0</v>
      </c>
      <c r="AI30" s="60">
        <f t="shared" si="111"/>
        <v>0</v>
      </c>
      <c r="AJ30" s="60">
        <f t="shared" si="111"/>
        <v>0</v>
      </c>
      <c r="AK30" s="60">
        <f t="shared" si="111"/>
        <v>0</v>
      </c>
      <c r="AL30" s="60">
        <f t="shared" si="111"/>
        <v>0</v>
      </c>
      <c r="AM30" s="60">
        <f t="shared" si="111"/>
        <v>0</v>
      </c>
      <c r="AN30" s="60">
        <f t="shared" si="111"/>
        <v>0</v>
      </c>
      <c r="AO30" s="60">
        <f t="shared" si="111"/>
        <v>0</v>
      </c>
      <c r="AP30" s="60">
        <f t="shared" si="111"/>
        <v>0</v>
      </c>
      <c r="AQ30" s="60">
        <f t="shared" si="111"/>
        <v>0</v>
      </c>
      <c r="AR30" s="60">
        <f t="shared" si="111"/>
        <v>0</v>
      </c>
      <c r="AS30" s="60">
        <f t="shared" si="111"/>
        <v>0</v>
      </c>
      <c r="AT30" s="60"/>
      <c r="AU30" s="319">
        <f t="shared" ref="AU30:BF30" si="112">AT30</f>
        <v>0</v>
      </c>
      <c r="AV30" s="60">
        <f t="shared" si="112"/>
        <v>0</v>
      </c>
      <c r="AW30" s="60">
        <f t="shared" si="112"/>
        <v>0</v>
      </c>
      <c r="AX30" s="60">
        <f t="shared" si="112"/>
        <v>0</v>
      </c>
      <c r="AY30" s="60">
        <f t="shared" si="112"/>
        <v>0</v>
      </c>
      <c r="AZ30" s="60">
        <f t="shared" si="112"/>
        <v>0</v>
      </c>
      <c r="BA30" s="60">
        <f t="shared" si="112"/>
        <v>0</v>
      </c>
      <c r="BB30" s="60">
        <f t="shared" si="112"/>
        <v>0</v>
      </c>
      <c r="BC30" s="60">
        <f t="shared" si="112"/>
        <v>0</v>
      </c>
      <c r="BD30" s="60">
        <f t="shared" si="112"/>
        <v>0</v>
      </c>
      <c r="BE30" s="60">
        <f t="shared" si="112"/>
        <v>0</v>
      </c>
      <c r="BF30" s="60">
        <f t="shared" si="112"/>
        <v>0</v>
      </c>
      <c r="BG30" s="60"/>
      <c r="BH30" s="319">
        <f t="shared" ref="BH30:BS30" si="113">BG30</f>
        <v>0</v>
      </c>
      <c r="BI30" s="60">
        <f t="shared" si="113"/>
        <v>0</v>
      </c>
      <c r="BJ30" s="60">
        <f t="shared" si="113"/>
        <v>0</v>
      </c>
      <c r="BK30" s="60">
        <f t="shared" si="113"/>
        <v>0</v>
      </c>
      <c r="BL30" s="60">
        <f t="shared" si="113"/>
        <v>0</v>
      </c>
      <c r="BM30" s="60">
        <f t="shared" si="113"/>
        <v>0</v>
      </c>
      <c r="BN30" s="60">
        <f t="shared" si="113"/>
        <v>0</v>
      </c>
      <c r="BO30" s="60">
        <f t="shared" si="113"/>
        <v>0</v>
      </c>
      <c r="BP30" s="60">
        <f t="shared" si="113"/>
        <v>0</v>
      </c>
      <c r="BQ30" s="60">
        <f t="shared" si="113"/>
        <v>0</v>
      </c>
      <c r="BR30" s="60">
        <f t="shared" si="113"/>
        <v>0</v>
      </c>
      <c r="BS30" s="60">
        <f t="shared" si="113"/>
        <v>0</v>
      </c>
      <c r="BT30" s="60"/>
      <c r="BU30" s="60"/>
    </row>
    <row r="31" spans="1:73" ht="15.75" customHeight="1">
      <c r="B31" s="2"/>
      <c r="C31" s="48" t="str">
        <f>CONCATENATE("   Sub-total ",B20)</f>
        <v xml:space="preserve">   Sub-total Production</v>
      </c>
      <c r="D31" s="38"/>
      <c r="E31" s="2"/>
      <c r="F31" s="60"/>
      <c r="G31" s="60"/>
      <c r="H31" s="18">
        <f t="shared" ref="H31:BT31" si="114">H21+H23+H25+H27+H29</f>
        <v>6250</v>
      </c>
      <c r="I31" s="18">
        <f t="shared" si="114"/>
        <v>6250</v>
      </c>
      <c r="J31" s="18">
        <f t="shared" si="114"/>
        <v>6250</v>
      </c>
      <c r="K31" s="18">
        <f t="shared" si="114"/>
        <v>6250</v>
      </c>
      <c r="L31" s="18">
        <f t="shared" si="114"/>
        <v>6250</v>
      </c>
      <c r="M31" s="18">
        <f t="shared" si="114"/>
        <v>6250</v>
      </c>
      <c r="N31" s="18">
        <f t="shared" si="114"/>
        <v>6250</v>
      </c>
      <c r="O31" s="18">
        <f t="shared" si="114"/>
        <v>6250</v>
      </c>
      <c r="P31" s="18">
        <f t="shared" si="114"/>
        <v>6250</v>
      </c>
      <c r="Q31" s="18">
        <f t="shared" si="114"/>
        <v>6250</v>
      </c>
      <c r="R31" s="18">
        <f t="shared" si="114"/>
        <v>6250</v>
      </c>
      <c r="S31" s="18">
        <f t="shared" si="114"/>
        <v>6250</v>
      </c>
      <c r="T31" s="18">
        <f t="shared" si="114"/>
        <v>75000</v>
      </c>
      <c r="U31" s="18">
        <f t="shared" si="114"/>
        <v>6250</v>
      </c>
      <c r="V31" s="18">
        <f t="shared" si="114"/>
        <v>6250</v>
      </c>
      <c r="W31" s="18">
        <f t="shared" si="114"/>
        <v>6250</v>
      </c>
      <c r="X31" s="18">
        <f t="shared" si="114"/>
        <v>6250</v>
      </c>
      <c r="Y31" s="18">
        <f t="shared" si="114"/>
        <v>6250</v>
      </c>
      <c r="Z31" s="18">
        <f t="shared" si="114"/>
        <v>6250</v>
      </c>
      <c r="AA31" s="18">
        <f t="shared" si="114"/>
        <v>6250</v>
      </c>
      <c r="AB31" s="18">
        <f t="shared" si="114"/>
        <v>6250</v>
      </c>
      <c r="AC31" s="18">
        <f t="shared" si="114"/>
        <v>6250</v>
      </c>
      <c r="AD31" s="18">
        <f t="shared" si="114"/>
        <v>6250</v>
      </c>
      <c r="AE31" s="18">
        <f t="shared" si="114"/>
        <v>6250</v>
      </c>
      <c r="AF31" s="18">
        <f t="shared" si="114"/>
        <v>6250</v>
      </c>
      <c r="AG31" s="18">
        <f t="shared" si="114"/>
        <v>75000</v>
      </c>
      <c r="AH31" s="18">
        <f t="shared" si="114"/>
        <v>8594</v>
      </c>
      <c r="AI31" s="18">
        <f t="shared" si="114"/>
        <v>8594</v>
      </c>
      <c r="AJ31" s="18">
        <f t="shared" si="114"/>
        <v>8594</v>
      </c>
      <c r="AK31" s="18">
        <f t="shared" si="114"/>
        <v>8594</v>
      </c>
      <c r="AL31" s="18">
        <f t="shared" si="114"/>
        <v>8594</v>
      </c>
      <c r="AM31" s="18">
        <f t="shared" si="114"/>
        <v>8594</v>
      </c>
      <c r="AN31" s="18">
        <f t="shared" si="114"/>
        <v>8594</v>
      </c>
      <c r="AO31" s="18">
        <f t="shared" si="114"/>
        <v>8594</v>
      </c>
      <c r="AP31" s="18">
        <f t="shared" si="114"/>
        <v>8594</v>
      </c>
      <c r="AQ31" s="18">
        <f t="shared" si="114"/>
        <v>8594</v>
      </c>
      <c r="AR31" s="18">
        <f t="shared" si="114"/>
        <v>8594</v>
      </c>
      <c r="AS31" s="18">
        <f t="shared" si="114"/>
        <v>8594</v>
      </c>
      <c r="AT31" s="18">
        <f t="shared" si="114"/>
        <v>103128</v>
      </c>
      <c r="AU31" s="18">
        <f t="shared" si="114"/>
        <v>8594</v>
      </c>
      <c r="AV31" s="18">
        <f t="shared" si="114"/>
        <v>8594</v>
      </c>
      <c r="AW31" s="18">
        <f t="shared" si="114"/>
        <v>8594</v>
      </c>
      <c r="AX31" s="18">
        <f t="shared" si="114"/>
        <v>8594</v>
      </c>
      <c r="AY31" s="18">
        <f t="shared" si="114"/>
        <v>8594</v>
      </c>
      <c r="AZ31" s="18">
        <f t="shared" si="114"/>
        <v>8594</v>
      </c>
      <c r="BA31" s="18">
        <f t="shared" si="114"/>
        <v>8594</v>
      </c>
      <c r="BB31" s="18">
        <f t="shared" si="114"/>
        <v>8594</v>
      </c>
      <c r="BC31" s="18">
        <f t="shared" si="114"/>
        <v>8594</v>
      </c>
      <c r="BD31" s="18">
        <f t="shared" si="114"/>
        <v>8594</v>
      </c>
      <c r="BE31" s="18">
        <f t="shared" si="114"/>
        <v>8594</v>
      </c>
      <c r="BF31" s="18">
        <f t="shared" si="114"/>
        <v>8594</v>
      </c>
      <c r="BG31" s="18">
        <f t="shared" si="114"/>
        <v>103128</v>
      </c>
      <c r="BH31" s="18">
        <f t="shared" si="114"/>
        <v>9297</v>
      </c>
      <c r="BI31" s="18">
        <f t="shared" si="114"/>
        <v>9297</v>
      </c>
      <c r="BJ31" s="18">
        <f t="shared" si="114"/>
        <v>9297</v>
      </c>
      <c r="BK31" s="18">
        <f t="shared" si="114"/>
        <v>9297</v>
      </c>
      <c r="BL31" s="18">
        <f t="shared" si="114"/>
        <v>9297</v>
      </c>
      <c r="BM31" s="18">
        <f t="shared" si="114"/>
        <v>9297</v>
      </c>
      <c r="BN31" s="18">
        <f t="shared" si="114"/>
        <v>9297</v>
      </c>
      <c r="BO31" s="18">
        <f t="shared" si="114"/>
        <v>9297</v>
      </c>
      <c r="BP31" s="18">
        <f t="shared" si="114"/>
        <v>9297</v>
      </c>
      <c r="BQ31" s="18">
        <f t="shared" si="114"/>
        <v>9297</v>
      </c>
      <c r="BR31" s="18">
        <f t="shared" si="114"/>
        <v>9297</v>
      </c>
      <c r="BS31" s="18">
        <f t="shared" si="114"/>
        <v>9297</v>
      </c>
      <c r="BT31" s="18">
        <f t="shared" si="114"/>
        <v>111564</v>
      </c>
      <c r="BU31" s="18">
        <f>SUM(BU21:BU30)</f>
        <v>467820</v>
      </c>
    </row>
    <row r="32" spans="1:73" ht="15.75" customHeight="1">
      <c r="B32" s="2"/>
      <c r="C32" s="257"/>
      <c r="D32" s="38"/>
      <c r="E32" s="2"/>
      <c r="F32" s="60"/>
      <c r="G32" s="60"/>
      <c r="H32" s="308"/>
      <c r="I32" s="308"/>
      <c r="J32" s="308"/>
      <c r="K32" s="308"/>
      <c r="L32" s="308"/>
      <c r="M32" s="308"/>
      <c r="N32" s="308"/>
      <c r="O32" s="308"/>
      <c r="P32" s="308"/>
      <c r="Q32" s="308"/>
      <c r="R32" s="308"/>
      <c r="S32" s="308"/>
      <c r="T32" s="308"/>
      <c r="U32" s="308"/>
      <c r="V32" s="308"/>
      <c r="W32" s="308"/>
      <c r="X32" s="308"/>
      <c r="Y32" s="308"/>
      <c r="Z32" s="308"/>
      <c r="AA32" s="308"/>
      <c r="AB32" s="308"/>
      <c r="AC32" s="308"/>
      <c r="AD32" s="308"/>
      <c r="AE32" s="308"/>
      <c r="AF32" s="308"/>
      <c r="AG32" s="308"/>
      <c r="AH32" s="308"/>
      <c r="AI32" s="308"/>
      <c r="AJ32" s="308"/>
      <c r="AK32" s="308"/>
      <c r="AL32" s="308"/>
      <c r="AM32" s="308"/>
      <c r="AN32" s="308"/>
      <c r="AO32" s="308"/>
      <c r="AP32" s="308"/>
      <c r="AQ32" s="308"/>
      <c r="AR32" s="308"/>
      <c r="AS32" s="308"/>
      <c r="AT32" s="308"/>
      <c r="AU32" s="308"/>
      <c r="AV32" s="308"/>
      <c r="AW32" s="308"/>
      <c r="AX32" s="308"/>
      <c r="AY32" s="308"/>
      <c r="AZ32" s="308"/>
      <c r="BA32" s="308"/>
      <c r="BB32" s="308"/>
      <c r="BC32" s="308"/>
      <c r="BD32" s="308"/>
      <c r="BE32" s="308"/>
      <c r="BF32" s="308"/>
      <c r="BG32" s="308"/>
      <c r="BH32" s="308"/>
      <c r="BI32" s="308"/>
      <c r="BJ32" s="308"/>
      <c r="BK32" s="308"/>
      <c r="BL32" s="308"/>
      <c r="BM32" s="308"/>
      <c r="BN32" s="308"/>
      <c r="BO32" s="308"/>
      <c r="BP32" s="308"/>
      <c r="BQ32" s="308"/>
      <c r="BR32" s="308"/>
      <c r="BS32" s="308"/>
      <c r="BT32" s="308"/>
      <c r="BU32" s="308"/>
    </row>
    <row r="33" spans="1:73" ht="15.75" customHeight="1">
      <c r="B33" s="2"/>
      <c r="C33" s="257"/>
      <c r="D33" s="38"/>
      <c r="E33" s="2"/>
      <c r="F33" s="60" t="s">
        <v>666</v>
      </c>
      <c r="G33" s="60"/>
      <c r="H33" s="370">
        <f t="shared" ref="H33:K33" si="115">H22+H24+H26+H28+H30</f>
        <v>1</v>
      </c>
      <c r="I33" s="370">
        <f t="shared" si="115"/>
        <v>1</v>
      </c>
      <c r="J33" s="370">
        <f t="shared" si="115"/>
        <v>1</v>
      </c>
      <c r="K33" s="370">
        <f t="shared" si="115"/>
        <v>1</v>
      </c>
      <c r="L33" s="370">
        <f>L22+L24+L26+L28+L30</f>
        <v>1</v>
      </c>
      <c r="M33" s="370">
        <f t="shared" ref="M33:S33" si="116">M22+M24+M26+M28+M30</f>
        <v>1</v>
      </c>
      <c r="N33" s="370">
        <f t="shared" si="116"/>
        <v>1</v>
      </c>
      <c r="O33" s="370">
        <f t="shared" si="116"/>
        <v>1</v>
      </c>
      <c r="P33" s="370">
        <f t="shared" si="116"/>
        <v>1</v>
      </c>
      <c r="Q33" s="370">
        <f t="shared" si="116"/>
        <v>1</v>
      </c>
      <c r="R33" s="370">
        <f t="shared" si="116"/>
        <v>1</v>
      </c>
      <c r="S33" s="370">
        <f t="shared" si="116"/>
        <v>1</v>
      </c>
      <c r="T33" s="308"/>
      <c r="U33" s="370">
        <f t="shared" ref="U33:X33" si="117">U22+U24+U26+U28+U30</f>
        <v>1</v>
      </c>
      <c r="V33" s="370">
        <f t="shared" si="117"/>
        <v>1</v>
      </c>
      <c r="W33" s="370">
        <f t="shared" si="117"/>
        <v>1</v>
      </c>
      <c r="X33" s="370">
        <f t="shared" si="117"/>
        <v>1</v>
      </c>
      <c r="Y33" s="370">
        <f>Y22+Y24+Y26+Y28+Y30</f>
        <v>1</v>
      </c>
      <c r="Z33" s="370">
        <f t="shared" ref="Z33:AF33" si="118">Z22+Z24+Z26+Z28+Z30</f>
        <v>1</v>
      </c>
      <c r="AA33" s="370">
        <f t="shared" si="118"/>
        <v>1</v>
      </c>
      <c r="AB33" s="370">
        <f t="shared" si="118"/>
        <v>1</v>
      </c>
      <c r="AC33" s="370">
        <f t="shared" si="118"/>
        <v>1</v>
      </c>
      <c r="AD33" s="370">
        <f t="shared" si="118"/>
        <v>1</v>
      </c>
      <c r="AE33" s="370">
        <f t="shared" si="118"/>
        <v>1</v>
      </c>
      <c r="AF33" s="370">
        <f t="shared" si="118"/>
        <v>1</v>
      </c>
      <c r="AG33" s="308"/>
      <c r="AH33" s="370">
        <f t="shared" ref="AH33:AK33" si="119">AH22+AH24+AH26+AH28+AH30</f>
        <v>1.5</v>
      </c>
      <c r="AI33" s="370">
        <f t="shared" si="119"/>
        <v>1.5</v>
      </c>
      <c r="AJ33" s="370">
        <f t="shared" si="119"/>
        <v>1.5</v>
      </c>
      <c r="AK33" s="370">
        <f t="shared" si="119"/>
        <v>1.5</v>
      </c>
      <c r="AL33" s="370">
        <f>AL22+AL24+AL26+AL28+AL30</f>
        <v>1.5</v>
      </c>
      <c r="AM33" s="370">
        <f t="shared" ref="AM33:AS33" si="120">AM22+AM24+AM26+AM28+AM30</f>
        <v>1.5</v>
      </c>
      <c r="AN33" s="370">
        <f t="shared" si="120"/>
        <v>1.5</v>
      </c>
      <c r="AO33" s="370">
        <f t="shared" si="120"/>
        <v>1.5</v>
      </c>
      <c r="AP33" s="370">
        <f t="shared" si="120"/>
        <v>1.5</v>
      </c>
      <c r="AQ33" s="370">
        <f t="shared" si="120"/>
        <v>1.5</v>
      </c>
      <c r="AR33" s="370">
        <f t="shared" si="120"/>
        <v>1.5</v>
      </c>
      <c r="AS33" s="370">
        <f t="shared" si="120"/>
        <v>1.5</v>
      </c>
      <c r="AT33" s="308"/>
      <c r="AU33" s="370">
        <f t="shared" ref="AU33:AX33" si="121">AU22+AU24+AU26+AU28+AU30</f>
        <v>1.5</v>
      </c>
      <c r="AV33" s="370">
        <f t="shared" si="121"/>
        <v>1.5</v>
      </c>
      <c r="AW33" s="370">
        <f t="shared" si="121"/>
        <v>1.5</v>
      </c>
      <c r="AX33" s="370">
        <f t="shared" si="121"/>
        <v>1.5</v>
      </c>
      <c r="AY33" s="370">
        <f>AY22+AY24+AY26+AY28+AY30</f>
        <v>1.5</v>
      </c>
      <c r="AZ33" s="370">
        <f t="shared" ref="AZ33:BF33" si="122">AZ22+AZ24+AZ26+AZ28+AZ30</f>
        <v>1.5</v>
      </c>
      <c r="BA33" s="370">
        <f t="shared" si="122"/>
        <v>1.5</v>
      </c>
      <c r="BB33" s="370">
        <f t="shared" si="122"/>
        <v>1.5</v>
      </c>
      <c r="BC33" s="370">
        <f t="shared" si="122"/>
        <v>1.5</v>
      </c>
      <c r="BD33" s="370">
        <f t="shared" si="122"/>
        <v>1.5</v>
      </c>
      <c r="BE33" s="370">
        <f t="shared" si="122"/>
        <v>1.5</v>
      </c>
      <c r="BF33" s="370">
        <f t="shared" si="122"/>
        <v>1.5</v>
      </c>
      <c r="BG33" s="308"/>
      <c r="BH33" s="370">
        <f t="shared" ref="BH33:BK33" si="123">BH22+BH24+BH26+BH28+BH30</f>
        <v>1.65</v>
      </c>
      <c r="BI33" s="370">
        <f t="shared" si="123"/>
        <v>1.65</v>
      </c>
      <c r="BJ33" s="370">
        <f t="shared" si="123"/>
        <v>1.65</v>
      </c>
      <c r="BK33" s="370">
        <f t="shared" si="123"/>
        <v>1.65</v>
      </c>
      <c r="BL33" s="370">
        <f>BL22+BL24+BL26+BL28+BL30</f>
        <v>1.65</v>
      </c>
      <c r="BM33" s="370">
        <f t="shared" ref="BM33:BS33" si="124">BM22+BM24+BM26+BM28+BM30</f>
        <v>1.65</v>
      </c>
      <c r="BN33" s="370">
        <f t="shared" si="124"/>
        <v>1.65</v>
      </c>
      <c r="BO33" s="370">
        <f t="shared" si="124"/>
        <v>1.65</v>
      </c>
      <c r="BP33" s="370">
        <f t="shared" si="124"/>
        <v>1.65</v>
      </c>
      <c r="BQ33" s="370">
        <f t="shared" si="124"/>
        <v>1.65</v>
      </c>
      <c r="BR33" s="370">
        <f t="shared" si="124"/>
        <v>1.65</v>
      </c>
      <c r="BS33" s="370">
        <f t="shared" si="124"/>
        <v>1.65</v>
      </c>
      <c r="BT33" s="308"/>
      <c r="BU33" s="308"/>
    </row>
    <row r="34" spans="1:73" ht="15.75" customHeight="1">
      <c r="B34" s="2" t="s">
        <v>536</v>
      </c>
      <c r="C34" s="2"/>
      <c r="D34" s="38"/>
      <c r="E34" s="2"/>
      <c r="F34" s="60"/>
      <c r="G34" s="6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</row>
    <row r="35" spans="1:73" ht="15.75" customHeight="1">
      <c r="B35" s="2"/>
      <c r="C35" s="147" t="s">
        <v>537</v>
      </c>
      <c r="D35" s="320">
        <f>20*40*52</f>
        <v>41600</v>
      </c>
      <c r="E35" s="3">
        <f>E$6*$D35</f>
        <v>10400</v>
      </c>
      <c r="F35" s="148">
        <f>SUM(D35:E35)</f>
        <v>52000</v>
      </c>
      <c r="G35" s="60"/>
      <c r="H35" s="3">
        <f t="shared" ref="H35:S35" si="125">ROUND(($F35/12)*H36,0)</f>
        <v>4333</v>
      </c>
      <c r="I35" s="3">
        <f t="shared" si="125"/>
        <v>4333</v>
      </c>
      <c r="J35" s="3">
        <f t="shared" si="125"/>
        <v>4333</v>
      </c>
      <c r="K35" s="3">
        <f t="shared" si="125"/>
        <v>4333</v>
      </c>
      <c r="L35" s="3">
        <f t="shared" si="125"/>
        <v>4333</v>
      </c>
      <c r="M35" s="3">
        <f t="shared" si="125"/>
        <v>4333</v>
      </c>
      <c r="N35" s="3">
        <f t="shared" si="125"/>
        <v>4333</v>
      </c>
      <c r="O35" s="3">
        <f t="shared" si="125"/>
        <v>4333</v>
      </c>
      <c r="P35" s="3">
        <f t="shared" si="125"/>
        <v>4333</v>
      </c>
      <c r="Q35" s="3">
        <f t="shared" si="125"/>
        <v>4333</v>
      </c>
      <c r="R35" s="3">
        <f t="shared" si="125"/>
        <v>4333</v>
      </c>
      <c r="S35" s="3">
        <f t="shared" si="125"/>
        <v>4333</v>
      </c>
      <c r="T35" s="3">
        <f>SUM(H35:S35)</f>
        <v>51996</v>
      </c>
      <c r="U35" s="3">
        <f t="shared" ref="U35:AF35" si="126">ROUND(($F35/12)*U36,0)</f>
        <v>4333</v>
      </c>
      <c r="V35" s="3">
        <f t="shared" si="126"/>
        <v>4333</v>
      </c>
      <c r="W35" s="3">
        <f t="shared" si="126"/>
        <v>4333</v>
      </c>
      <c r="X35" s="3">
        <f t="shared" si="126"/>
        <v>4333</v>
      </c>
      <c r="Y35" s="3">
        <f t="shared" si="126"/>
        <v>4333</v>
      </c>
      <c r="Z35" s="3">
        <f t="shared" si="126"/>
        <v>4333</v>
      </c>
      <c r="AA35" s="3">
        <f t="shared" si="126"/>
        <v>4333</v>
      </c>
      <c r="AB35" s="3">
        <f t="shared" si="126"/>
        <v>4333</v>
      </c>
      <c r="AC35" s="3">
        <f t="shared" si="126"/>
        <v>4333</v>
      </c>
      <c r="AD35" s="3">
        <f t="shared" si="126"/>
        <v>4333</v>
      </c>
      <c r="AE35" s="3">
        <f t="shared" si="126"/>
        <v>4333</v>
      </c>
      <c r="AF35" s="3">
        <f t="shared" si="126"/>
        <v>4333</v>
      </c>
      <c r="AG35" s="3">
        <f>SUM(U35:AF35)</f>
        <v>51996</v>
      </c>
      <c r="AH35" s="3">
        <f t="shared" ref="AH35:AS35" si="127">ROUND(($F35/12)*AH36,0)</f>
        <v>4333</v>
      </c>
      <c r="AI35" s="3">
        <f t="shared" si="127"/>
        <v>4333</v>
      </c>
      <c r="AJ35" s="3">
        <f t="shared" si="127"/>
        <v>4333</v>
      </c>
      <c r="AK35" s="3">
        <f t="shared" si="127"/>
        <v>4333</v>
      </c>
      <c r="AL35" s="3">
        <f t="shared" si="127"/>
        <v>4333</v>
      </c>
      <c r="AM35" s="3">
        <f t="shared" si="127"/>
        <v>4333</v>
      </c>
      <c r="AN35" s="3">
        <f t="shared" si="127"/>
        <v>4333</v>
      </c>
      <c r="AO35" s="3">
        <f t="shared" si="127"/>
        <v>4333</v>
      </c>
      <c r="AP35" s="3">
        <f t="shared" si="127"/>
        <v>4333</v>
      </c>
      <c r="AQ35" s="3">
        <f t="shared" si="127"/>
        <v>4333</v>
      </c>
      <c r="AR35" s="3">
        <f t="shared" si="127"/>
        <v>4333</v>
      </c>
      <c r="AS35" s="3">
        <f t="shared" si="127"/>
        <v>4333</v>
      </c>
      <c r="AT35" s="3">
        <f>SUM(AH35:AS35)</f>
        <v>51996</v>
      </c>
      <c r="AU35" s="3">
        <f t="shared" ref="AU35:BF35" si="128">ROUND(($F35/12)*AU36,0)</f>
        <v>4333</v>
      </c>
      <c r="AV35" s="3">
        <f t="shared" si="128"/>
        <v>4333</v>
      </c>
      <c r="AW35" s="3">
        <f t="shared" si="128"/>
        <v>4333</v>
      </c>
      <c r="AX35" s="3">
        <f t="shared" si="128"/>
        <v>4333</v>
      </c>
      <c r="AY35" s="3">
        <f t="shared" si="128"/>
        <v>4333</v>
      </c>
      <c r="AZ35" s="3">
        <f t="shared" si="128"/>
        <v>4333</v>
      </c>
      <c r="BA35" s="3">
        <f t="shared" si="128"/>
        <v>4333</v>
      </c>
      <c r="BB35" s="3">
        <f t="shared" si="128"/>
        <v>4333</v>
      </c>
      <c r="BC35" s="3">
        <f t="shared" si="128"/>
        <v>4333</v>
      </c>
      <c r="BD35" s="3">
        <f t="shared" si="128"/>
        <v>4333</v>
      </c>
      <c r="BE35" s="3">
        <f t="shared" si="128"/>
        <v>4333</v>
      </c>
      <c r="BF35" s="3">
        <f t="shared" si="128"/>
        <v>4333</v>
      </c>
      <c r="BG35" s="3">
        <f>SUM(AU35:BF35)</f>
        <v>51996</v>
      </c>
      <c r="BH35" s="3">
        <f t="shared" ref="BH35:BS35" si="129">ROUND(($F35/12)*BH36,0)</f>
        <v>4333</v>
      </c>
      <c r="BI35" s="3">
        <f t="shared" si="129"/>
        <v>4333</v>
      </c>
      <c r="BJ35" s="3">
        <f t="shared" si="129"/>
        <v>4333</v>
      </c>
      <c r="BK35" s="3">
        <f t="shared" si="129"/>
        <v>4333</v>
      </c>
      <c r="BL35" s="3">
        <f t="shared" si="129"/>
        <v>4333</v>
      </c>
      <c r="BM35" s="3">
        <f t="shared" si="129"/>
        <v>4333</v>
      </c>
      <c r="BN35" s="3">
        <f t="shared" si="129"/>
        <v>4333</v>
      </c>
      <c r="BO35" s="3">
        <f t="shared" si="129"/>
        <v>4333</v>
      </c>
      <c r="BP35" s="3">
        <f t="shared" si="129"/>
        <v>4333</v>
      </c>
      <c r="BQ35" s="3">
        <f t="shared" si="129"/>
        <v>4333</v>
      </c>
      <c r="BR35" s="3">
        <f t="shared" si="129"/>
        <v>4333</v>
      </c>
      <c r="BS35" s="3">
        <f t="shared" si="129"/>
        <v>4333</v>
      </c>
      <c r="BT35" s="3">
        <f>SUM(BH35:BS35)</f>
        <v>51996</v>
      </c>
      <c r="BU35" s="3">
        <f>T35+AG35+AT35+BG35+BT35</f>
        <v>259980</v>
      </c>
    </row>
    <row r="36" spans="1:73" ht="15.75" customHeight="1">
      <c r="A36" s="2"/>
      <c r="B36" s="2"/>
      <c r="C36" s="2"/>
      <c r="D36" s="38"/>
      <c r="E36" s="2"/>
      <c r="F36" s="149"/>
      <c r="G36" s="60"/>
      <c r="H36" s="319">
        <v>1</v>
      </c>
      <c r="I36" s="60">
        <f t="shared" ref="I36:S36" si="130">H36</f>
        <v>1</v>
      </c>
      <c r="J36" s="60">
        <f t="shared" si="130"/>
        <v>1</v>
      </c>
      <c r="K36" s="60">
        <f t="shared" si="130"/>
        <v>1</v>
      </c>
      <c r="L36" s="60">
        <f t="shared" si="130"/>
        <v>1</v>
      </c>
      <c r="M36" s="60">
        <f t="shared" si="130"/>
        <v>1</v>
      </c>
      <c r="N36" s="60">
        <f t="shared" si="130"/>
        <v>1</v>
      </c>
      <c r="O36" s="60">
        <f t="shared" si="130"/>
        <v>1</v>
      </c>
      <c r="P36" s="60">
        <f t="shared" si="130"/>
        <v>1</v>
      </c>
      <c r="Q36" s="60">
        <f t="shared" si="130"/>
        <v>1</v>
      </c>
      <c r="R36" s="60">
        <f t="shared" si="130"/>
        <v>1</v>
      </c>
      <c r="S36" s="60">
        <f t="shared" si="130"/>
        <v>1</v>
      </c>
      <c r="T36" s="60"/>
      <c r="U36" s="319">
        <v>1</v>
      </c>
      <c r="V36" s="60">
        <f t="shared" ref="V36:AF36" si="131">U36</f>
        <v>1</v>
      </c>
      <c r="W36" s="60">
        <f t="shared" si="131"/>
        <v>1</v>
      </c>
      <c r="X36" s="60">
        <f t="shared" si="131"/>
        <v>1</v>
      </c>
      <c r="Y36" s="60">
        <f t="shared" si="131"/>
        <v>1</v>
      </c>
      <c r="Z36" s="60">
        <f t="shared" si="131"/>
        <v>1</v>
      </c>
      <c r="AA36" s="60">
        <f t="shared" si="131"/>
        <v>1</v>
      </c>
      <c r="AB36" s="60">
        <f t="shared" si="131"/>
        <v>1</v>
      </c>
      <c r="AC36" s="60">
        <f t="shared" si="131"/>
        <v>1</v>
      </c>
      <c r="AD36" s="60">
        <f t="shared" si="131"/>
        <v>1</v>
      </c>
      <c r="AE36" s="60">
        <f t="shared" si="131"/>
        <v>1</v>
      </c>
      <c r="AF36" s="60">
        <f t="shared" si="131"/>
        <v>1</v>
      </c>
      <c r="AG36" s="60"/>
      <c r="AH36" s="319">
        <v>1</v>
      </c>
      <c r="AI36" s="60">
        <f t="shared" ref="AI36:AS36" si="132">AH36</f>
        <v>1</v>
      </c>
      <c r="AJ36" s="60">
        <f t="shared" si="132"/>
        <v>1</v>
      </c>
      <c r="AK36" s="60">
        <f t="shared" si="132"/>
        <v>1</v>
      </c>
      <c r="AL36" s="60">
        <f t="shared" si="132"/>
        <v>1</v>
      </c>
      <c r="AM36" s="60">
        <f t="shared" si="132"/>
        <v>1</v>
      </c>
      <c r="AN36" s="60">
        <f t="shared" si="132"/>
        <v>1</v>
      </c>
      <c r="AO36" s="60">
        <f t="shared" si="132"/>
        <v>1</v>
      </c>
      <c r="AP36" s="60">
        <f t="shared" si="132"/>
        <v>1</v>
      </c>
      <c r="AQ36" s="60">
        <f t="shared" si="132"/>
        <v>1</v>
      </c>
      <c r="AR36" s="60">
        <f t="shared" si="132"/>
        <v>1</v>
      </c>
      <c r="AS36" s="60">
        <f t="shared" si="132"/>
        <v>1</v>
      </c>
      <c r="AT36" s="60"/>
      <c r="AU36" s="319">
        <v>1</v>
      </c>
      <c r="AV36" s="60">
        <f t="shared" ref="AV36:BF36" si="133">AU36</f>
        <v>1</v>
      </c>
      <c r="AW36" s="60">
        <f t="shared" si="133"/>
        <v>1</v>
      </c>
      <c r="AX36" s="60">
        <f t="shared" si="133"/>
        <v>1</v>
      </c>
      <c r="AY36" s="60">
        <f t="shared" si="133"/>
        <v>1</v>
      </c>
      <c r="AZ36" s="60">
        <f t="shared" si="133"/>
        <v>1</v>
      </c>
      <c r="BA36" s="60">
        <f t="shared" si="133"/>
        <v>1</v>
      </c>
      <c r="BB36" s="60">
        <f t="shared" si="133"/>
        <v>1</v>
      </c>
      <c r="BC36" s="60">
        <f t="shared" si="133"/>
        <v>1</v>
      </c>
      <c r="BD36" s="60">
        <f t="shared" si="133"/>
        <v>1</v>
      </c>
      <c r="BE36" s="60">
        <f t="shared" si="133"/>
        <v>1</v>
      </c>
      <c r="BF36" s="60">
        <f t="shared" si="133"/>
        <v>1</v>
      </c>
      <c r="BG36" s="60"/>
      <c r="BH36" s="319">
        <v>1</v>
      </c>
      <c r="BI36" s="60">
        <f t="shared" ref="BI36:BS36" si="134">BH36</f>
        <v>1</v>
      </c>
      <c r="BJ36" s="60">
        <f t="shared" si="134"/>
        <v>1</v>
      </c>
      <c r="BK36" s="60">
        <f t="shared" si="134"/>
        <v>1</v>
      </c>
      <c r="BL36" s="60">
        <f t="shared" si="134"/>
        <v>1</v>
      </c>
      <c r="BM36" s="60">
        <f t="shared" si="134"/>
        <v>1</v>
      </c>
      <c r="BN36" s="60">
        <f t="shared" si="134"/>
        <v>1</v>
      </c>
      <c r="BO36" s="60">
        <f t="shared" si="134"/>
        <v>1</v>
      </c>
      <c r="BP36" s="60">
        <f t="shared" si="134"/>
        <v>1</v>
      </c>
      <c r="BQ36" s="60">
        <f t="shared" si="134"/>
        <v>1</v>
      </c>
      <c r="BR36" s="60">
        <f t="shared" si="134"/>
        <v>1</v>
      </c>
      <c r="BS36" s="60">
        <f t="shared" si="134"/>
        <v>1</v>
      </c>
      <c r="BT36" s="60"/>
      <c r="BU36" s="60"/>
    </row>
    <row r="37" spans="1:73" ht="15.75" customHeight="1">
      <c r="B37" s="2"/>
      <c r="C37" s="147" t="s">
        <v>537</v>
      </c>
      <c r="D37" s="320">
        <f>18*40*52</f>
        <v>37440</v>
      </c>
      <c r="E37" s="3">
        <f>E$6*$D37</f>
        <v>9360</v>
      </c>
      <c r="F37" s="148">
        <f>SUM(D37:E37)</f>
        <v>46800</v>
      </c>
      <c r="G37" s="60"/>
      <c r="H37" s="3">
        <f t="shared" ref="H37:S37" si="135">ROUND(($F37/12)*H38,0)</f>
        <v>975</v>
      </c>
      <c r="I37" s="3">
        <f t="shared" si="135"/>
        <v>975</v>
      </c>
      <c r="J37" s="3">
        <f t="shared" si="135"/>
        <v>975</v>
      </c>
      <c r="K37" s="3">
        <f t="shared" si="135"/>
        <v>975</v>
      </c>
      <c r="L37" s="3">
        <f t="shared" si="135"/>
        <v>975</v>
      </c>
      <c r="M37" s="3">
        <f t="shared" si="135"/>
        <v>975</v>
      </c>
      <c r="N37" s="3">
        <f t="shared" si="135"/>
        <v>975</v>
      </c>
      <c r="O37" s="3">
        <f t="shared" si="135"/>
        <v>975</v>
      </c>
      <c r="P37" s="3">
        <f t="shared" si="135"/>
        <v>975</v>
      </c>
      <c r="Q37" s="3">
        <f t="shared" si="135"/>
        <v>975</v>
      </c>
      <c r="R37" s="3">
        <f t="shared" si="135"/>
        <v>975</v>
      </c>
      <c r="S37" s="3">
        <f t="shared" si="135"/>
        <v>975</v>
      </c>
      <c r="T37" s="3">
        <f>SUM(H37:S37)</f>
        <v>11700</v>
      </c>
      <c r="U37" s="3">
        <f t="shared" ref="U37:AF37" si="136">ROUND(($F37/12)*U38,0)</f>
        <v>1950</v>
      </c>
      <c r="V37" s="3">
        <f t="shared" si="136"/>
        <v>1950</v>
      </c>
      <c r="W37" s="3">
        <f t="shared" si="136"/>
        <v>1950</v>
      </c>
      <c r="X37" s="3">
        <f t="shared" si="136"/>
        <v>1950</v>
      </c>
      <c r="Y37" s="3">
        <f t="shared" si="136"/>
        <v>1950</v>
      </c>
      <c r="Z37" s="3">
        <f t="shared" si="136"/>
        <v>1950</v>
      </c>
      <c r="AA37" s="3">
        <f t="shared" si="136"/>
        <v>1950</v>
      </c>
      <c r="AB37" s="3">
        <f t="shared" si="136"/>
        <v>1950</v>
      </c>
      <c r="AC37" s="3">
        <f t="shared" si="136"/>
        <v>1950</v>
      </c>
      <c r="AD37" s="3">
        <f t="shared" si="136"/>
        <v>1950</v>
      </c>
      <c r="AE37" s="3">
        <f t="shared" si="136"/>
        <v>1950</v>
      </c>
      <c r="AF37" s="3">
        <f t="shared" si="136"/>
        <v>1950</v>
      </c>
      <c r="AG37" s="3">
        <f>SUM(U37:AF37)</f>
        <v>23400</v>
      </c>
      <c r="AH37" s="3">
        <f t="shared" ref="AH37:AS37" si="137">ROUND(($F37/12)*AH38,0)</f>
        <v>2925</v>
      </c>
      <c r="AI37" s="3">
        <f t="shared" si="137"/>
        <v>2925</v>
      </c>
      <c r="AJ37" s="3">
        <f t="shared" si="137"/>
        <v>2925</v>
      </c>
      <c r="AK37" s="3">
        <f t="shared" si="137"/>
        <v>2925</v>
      </c>
      <c r="AL37" s="3">
        <f t="shared" si="137"/>
        <v>2925</v>
      </c>
      <c r="AM37" s="3">
        <f t="shared" si="137"/>
        <v>2925</v>
      </c>
      <c r="AN37" s="3">
        <f t="shared" si="137"/>
        <v>2925</v>
      </c>
      <c r="AO37" s="3">
        <f t="shared" si="137"/>
        <v>2925</v>
      </c>
      <c r="AP37" s="3">
        <f t="shared" si="137"/>
        <v>2925</v>
      </c>
      <c r="AQ37" s="3">
        <f t="shared" si="137"/>
        <v>2925</v>
      </c>
      <c r="AR37" s="3">
        <f t="shared" si="137"/>
        <v>2925</v>
      </c>
      <c r="AS37" s="3">
        <f t="shared" si="137"/>
        <v>2925</v>
      </c>
      <c r="AT37" s="3">
        <f>SUM(AH37:AS37)</f>
        <v>35100</v>
      </c>
      <c r="AU37" s="3">
        <f t="shared" ref="AU37:BF37" si="138">ROUND(($F37/12)*AU38,0)</f>
        <v>3900</v>
      </c>
      <c r="AV37" s="3">
        <f t="shared" si="138"/>
        <v>3900</v>
      </c>
      <c r="AW37" s="3">
        <f t="shared" si="138"/>
        <v>3900</v>
      </c>
      <c r="AX37" s="3">
        <f t="shared" si="138"/>
        <v>3900</v>
      </c>
      <c r="AY37" s="3">
        <f t="shared" si="138"/>
        <v>3900</v>
      </c>
      <c r="AZ37" s="3">
        <f t="shared" si="138"/>
        <v>3900</v>
      </c>
      <c r="BA37" s="3">
        <f t="shared" si="138"/>
        <v>3900</v>
      </c>
      <c r="BB37" s="3">
        <f t="shared" si="138"/>
        <v>3900</v>
      </c>
      <c r="BC37" s="3">
        <f t="shared" si="138"/>
        <v>3900</v>
      </c>
      <c r="BD37" s="3">
        <f t="shared" si="138"/>
        <v>3900</v>
      </c>
      <c r="BE37" s="3">
        <f t="shared" si="138"/>
        <v>3900</v>
      </c>
      <c r="BF37" s="3">
        <f t="shared" si="138"/>
        <v>3900</v>
      </c>
      <c r="BG37" s="3">
        <f>SUM(AU37:BF37)</f>
        <v>46800</v>
      </c>
      <c r="BH37" s="3">
        <f t="shared" ref="BH37:BS37" si="139">ROUND(($F37/12)*BH38,0)</f>
        <v>3900</v>
      </c>
      <c r="BI37" s="3">
        <f t="shared" si="139"/>
        <v>3900</v>
      </c>
      <c r="BJ37" s="3">
        <f t="shared" si="139"/>
        <v>3900</v>
      </c>
      <c r="BK37" s="3">
        <f t="shared" si="139"/>
        <v>3900</v>
      </c>
      <c r="BL37" s="3">
        <f t="shared" si="139"/>
        <v>3900</v>
      </c>
      <c r="BM37" s="3">
        <f t="shared" si="139"/>
        <v>3900</v>
      </c>
      <c r="BN37" s="3">
        <f t="shared" si="139"/>
        <v>3900</v>
      </c>
      <c r="BO37" s="3">
        <f t="shared" si="139"/>
        <v>3900</v>
      </c>
      <c r="BP37" s="3">
        <f t="shared" si="139"/>
        <v>3900</v>
      </c>
      <c r="BQ37" s="3">
        <f t="shared" si="139"/>
        <v>3900</v>
      </c>
      <c r="BR37" s="3">
        <f t="shared" si="139"/>
        <v>3900</v>
      </c>
      <c r="BS37" s="3">
        <f t="shared" si="139"/>
        <v>3900</v>
      </c>
      <c r="BT37" s="3">
        <f>SUM(BH37:BS37)</f>
        <v>46800</v>
      </c>
      <c r="BU37" s="3">
        <f>T37+AG37+AT37+BG37+BT37</f>
        <v>163800</v>
      </c>
    </row>
    <row r="38" spans="1:73" ht="15.75" customHeight="1">
      <c r="B38" s="2"/>
      <c r="C38" s="2"/>
      <c r="D38" s="38"/>
      <c r="E38" s="2"/>
      <c r="F38" s="60"/>
      <c r="G38" s="60"/>
      <c r="H38" s="319">
        <v>0.25</v>
      </c>
      <c r="I38" s="60">
        <f t="shared" ref="I38:S38" si="140">H38</f>
        <v>0.25</v>
      </c>
      <c r="J38" s="60">
        <f t="shared" si="140"/>
        <v>0.25</v>
      </c>
      <c r="K38" s="60">
        <f t="shared" si="140"/>
        <v>0.25</v>
      </c>
      <c r="L38" s="60">
        <f t="shared" si="140"/>
        <v>0.25</v>
      </c>
      <c r="M38" s="60">
        <f t="shared" si="140"/>
        <v>0.25</v>
      </c>
      <c r="N38" s="60">
        <f t="shared" si="140"/>
        <v>0.25</v>
      </c>
      <c r="O38" s="60">
        <f t="shared" si="140"/>
        <v>0.25</v>
      </c>
      <c r="P38" s="60">
        <f t="shared" si="140"/>
        <v>0.25</v>
      </c>
      <c r="Q38" s="60">
        <f t="shared" si="140"/>
        <v>0.25</v>
      </c>
      <c r="R38" s="60">
        <f t="shared" si="140"/>
        <v>0.25</v>
      </c>
      <c r="S38" s="60">
        <f t="shared" si="140"/>
        <v>0.25</v>
      </c>
      <c r="T38" s="60"/>
      <c r="U38" s="319">
        <v>0.5</v>
      </c>
      <c r="V38" s="60">
        <f t="shared" ref="V38:AF38" si="141">U38</f>
        <v>0.5</v>
      </c>
      <c r="W38" s="60">
        <f t="shared" si="141"/>
        <v>0.5</v>
      </c>
      <c r="X38" s="60">
        <f t="shared" si="141"/>
        <v>0.5</v>
      </c>
      <c r="Y38" s="60">
        <f t="shared" si="141"/>
        <v>0.5</v>
      </c>
      <c r="Z38" s="60">
        <f t="shared" si="141"/>
        <v>0.5</v>
      </c>
      <c r="AA38" s="60">
        <f t="shared" si="141"/>
        <v>0.5</v>
      </c>
      <c r="AB38" s="60">
        <f t="shared" si="141"/>
        <v>0.5</v>
      </c>
      <c r="AC38" s="60">
        <f t="shared" si="141"/>
        <v>0.5</v>
      </c>
      <c r="AD38" s="60">
        <f t="shared" si="141"/>
        <v>0.5</v>
      </c>
      <c r="AE38" s="60">
        <f t="shared" si="141"/>
        <v>0.5</v>
      </c>
      <c r="AF38" s="60">
        <f t="shared" si="141"/>
        <v>0.5</v>
      </c>
      <c r="AG38" s="60"/>
      <c r="AH38" s="319">
        <v>0.75</v>
      </c>
      <c r="AI38" s="60">
        <f t="shared" ref="AI38:AS38" si="142">AH38</f>
        <v>0.75</v>
      </c>
      <c r="AJ38" s="60">
        <f t="shared" si="142"/>
        <v>0.75</v>
      </c>
      <c r="AK38" s="60">
        <f t="shared" si="142"/>
        <v>0.75</v>
      </c>
      <c r="AL38" s="60">
        <f t="shared" si="142"/>
        <v>0.75</v>
      </c>
      <c r="AM38" s="60">
        <f t="shared" si="142"/>
        <v>0.75</v>
      </c>
      <c r="AN38" s="60">
        <f t="shared" si="142"/>
        <v>0.75</v>
      </c>
      <c r="AO38" s="60">
        <f t="shared" si="142"/>
        <v>0.75</v>
      </c>
      <c r="AP38" s="60">
        <f t="shared" si="142"/>
        <v>0.75</v>
      </c>
      <c r="AQ38" s="60">
        <f t="shared" si="142"/>
        <v>0.75</v>
      </c>
      <c r="AR38" s="60">
        <f t="shared" si="142"/>
        <v>0.75</v>
      </c>
      <c r="AS38" s="60">
        <f t="shared" si="142"/>
        <v>0.75</v>
      </c>
      <c r="AT38" s="60"/>
      <c r="AU38" s="319">
        <v>1</v>
      </c>
      <c r="AV38" s="60">
        <f t="shared" ref="AV38:BF38" si="143">AU38</f>
        <v>1</v>
      </c>
      <c r="AW38" s="60">
        <f t="shared" si="143"/>
        <v>1</v>
      </c>
      <c r="AX38" s="60">
        <f t="shared" si="143"/>
        <v>1</v>
      </c>
      <c r="AY38" s="60">
        <f t="shared" si="143"/>
        <v>1</v>
      </c>
      <c r="AZ38" s="60">
        <f t="shared" si="143"/>
        <v>1</v>
      </c>
      <c r="BA38" s="60">
        <f t="shared" si="143"/>
        <v>1</v>
      </c>
      <c r="BB38" s="60">
        <f t="shared" si="143"/>
        <v>1</v>
      </c>
      <c r="BC38" s="60">
        <f t="shared" si="143"/>
        <v>1</v>
      </c>
      <c r="BD38" s="60">
        <f t="shared" si="143"/>
        <v>1</v>
      </c>
      <c r="BE38" s="60">
        <f t="shared" si="143"/>
        <v>1</v>
      </c>
      <c r="BF38" s="60">
        <f t="shared" si="143"/>
        <v>1</v>
      </c>
      <c r="BG38" s="60"/>
      <c r="BH38" s="319">
        <v>1</v>
      </c>
      <c r="BI38" s="60">
        <f t="shared" ref="BI38:BS38" si="144">BH38</f>
        <v>1</v>
      </c>
      <c r="BJ38" s="60">
        <f t="shared" si="144"/>
        <v>1</v>
      </c>
      <c r="BK38" s="60">
        <f t="shared" si="144"/>
        <v>1</v>
      </c>
      <c r="BL38" s="60">
        <f t="shared" si="144"/>
        <v>1</v>
      </c>
      <c r="BM38" s="60">
        <f t="shared" si="144"/>
        <v>1</v>
      </c>
      <c r="BN38" s="60">
        <f t="shared" si="144"/>
        <v>1</v>
      </c>
      <c r="BO38" s="60">
        <f t="shared" si="144"/>
        <v>1</v>
      </c>
      <c r="BP38" s="60">
        <f t="shared" si="144"/>
        <v>1</v>
      </c>
      <c r="BQ38" s="60">
        <f t="shared" si="144"/>
        <v>1</v>
      </c>
      <c r="BR38" s="60">
        <f t="shared" si="144"/>
        <v>1</v>
      </c>
      <c r="BS38" s="60">
        <f t="shared" si="144"/>
        <v>1</v>
      </c>
      <c r="BT38" s="60"/>
      <c r="BU38" s="60"/>
    </row>
    <row r="39" spans="1:73" ht="15.75" customHeight="1">
      <c r="B39" s="2"/>
      <c r="C39" s="147"/>
      <c r="D39" s="320">
        <v>0</v>
      </c>
      <c r="E39" s="3">
        <f>$E38*D$7</f>
        <v>0</v>
      </c>
      <c r="F39" s="148">
        <f>SUM(D39:E39)</f>
        <v>0</v>
      </c>
      <c r="G39" s="60"/>
      <c r="H39" s="77">
        <f t="shared" ref="H39:S39" si="145">ROUND(($F39/12)*H40,0)</f>
        <v>0</v>
      </c>
      <c r="I39" s="77">
        <f t="shared" si="145"/>
        <v>0</v>
      </c>
      <c r="J39" s="77">
        <f t="shared" si="145"/>
        <v>0</v>
      </c>
      <c r="K39" s="77">
        <f t="shared" si="145"/>
        <v>0</v>
      </c>
      <c r="L39" s="77">
        <f t="shared" si="145"/>
        <v>0</v>
      </c>
      <c r="M39" s="77">
        <f t="shared" si="145"/>
        <v>0</v>
      </c>
      <c r="N39" s="77">
        <f t="shared" si="145"/>
        <v>0</v>
      </c>
      <c r="O39" s="77">
        <f t="shared" si="145"/>
        <v>0</v>
      </c>
      <c r="P39" s="77">
        <f t="shared" si="145"/>
        <v>0</v>
      </c>
      <c r="Q39" s="77">
        <f t="shared" si="145"/>
        <v>0</v>
      </c>
      <c r="R39" s="77">
        <f t="shared" si="145"/>
        <v>0</v>
      </c>
      <c r="S39" s="77">
        <f t="shared" si="145"/>
        <v>0</v>
      </c>
      <c r="T39" s="77">
        <f>SUM(H39:S39)</f>
        <v>0</v>
      </c>
      <c r="U39" s="77">
        <f t="shared" ref="U39:AF39" si="146">ROUND(($F39/12)*U40,0)</f>
        <v>0</v>
      </c>
      <c r="V39" s="77">
        <f t="shared" si="146"/>
        <v>0</v>
      </c>
      <c r="W39" s="77">
        <f t="shared" si="146"/>
        <v>0</v>
      </c>
      <c r="X39" s="77">
        <f t="shared" si="146"/>
        <v>0</v>
      </c>
      <c r="Y39" s="77">
        <f t="shared" si="146"/>
        <v>0</v>
      </c>
      <c r="Z39" s="77">
        <f t="shared" si="146"/>
        <v>0</v>
      </c>
      <c r="AA39" s="77">
        <f t="shared" si="146"/>
        <v>0</v>
      </c>
      <c r="AB39" s="77">
        <f t="shared" si="146"/>
        <v>0</v>
      </c>
      <c r="AC39" s="77">
        <f t="shared" si="146"/>
        <v>0</v>
      </c>
      <c r="AD39" s="77">
        <f t="shared" si="146"/>
        <v>0</v>
      </c>
      <c r="AE39" s="77">
        <f t="shared" si="146"/>
        <v>0</v>
      </c>
      <c r="AF39" s="77">
        <f t="shared" si="146"/>
        <v>0</v>
      </c>
      <c r="AG39" s="77">
        <f>SUM(U39:AF39)</f>
        <v>0</v>
      </c>
      <c r="AH39" s="77">
        <f t="shared" ref="AH39:AS39" si="147">ROUND(($F39/12)*AH40,0)</f>
        <v>0</v>
      </c>
      <c r="AI39" s="77">
        <f t="shared" si="147"/>
        <v>0</v>
      </c>
      <c r="AJ39" s="77">
        <f t="shared" si="147"/>
        <v>0</v>
      </c>
      <c r="AK39" s="77">
        <f t="shared" si="147"/>
        <v>0</v>
      </c>
      <c r="AL39" s="77">
        <f t="shared" si="147"/>
        <v>0</v>
      </c>
      <c r="AM39" s="77">
        <f t="shared" si="147"/>
        <v>0</v>
      </c>
      <c r="AN39" s="77">
        <f t="shared" si="147"/>
        <v>0</v>
      </c>
      <c r="AO39" s="77">
        <f t="shared" si="147"/>
        <v>0</v>
      </c>
      <c r="AP39" s="77">
        <f t="shared" si="147"/>
        <v>0</v>
      </c>
      <c r="AQ39" s="77">
        <f t="shared" si="147"/>
        <v>0</v>
      </c>
      <c r="AR39" s="77">
        <f t="shared" si="147"/>
        <v>0</v>
      </c>
      <c r="AS39" s="77">
        <f t="shared" si="147"/>
        <v>0</v>
      </c>
      <c r="AT39" s="77">
        <f>SUM(AH39:AS39)</f>
        <v>0</v>
      </c>
      <c r="AU39" s="77">
        <f t="shared" ref="AU39:BF39" si="148">ROUND(($F39/12)*AU40,0)</f>
        <v>0</v>
      </c>
      <c r="AV39" s="77">
        <f t="shared" si="148"/>
        <v>0</v>
      </c>
      <c r="AW39" s="77">
        <f t="shared" si="148"/>
        <v>0</v>
      </c>
      <c r="AX39" s="77">
        <f t="shared" si="148"/>
        <v>0</v>
      </c>
      <c r="AY39" s="77">
        <f t="shared" si="148"/>
        <v>0</v>
      </c>
      <c r="AZ39" s="77">
        <f t="shared" si="148"/>
        <v>0</v>
      </c>
      <c r="BA39" s="77">
        <f t="shared" si="148"/>
        <v>0</v>
      </c>
      <c r="BB39" s="77">
        <f t="shared" si="148"/>
        <v>0</v>
      </c>
      <c r="BC39" s="77">
        <f t="shared" si="148"/>
        <v>0</v>
      </c>
      <c r="BD39" s="77">
        <f t="shared" si="148"/>
        <v>0</v>
      </c>
      <c r="BE39" s="77">
        <f t="shared" si="148"/>
        <v>0</v>
      </c>
      <c r="BF39" s="77">
        <f t="shared" si="148"/>
        <v>0</v>
      </c>
      <c r="BG39" s="77">
        <f>SUM(AU39:BF39)</f>
        <v>0</v>
      </c>
      <c r="BH39" s="77">
        <f t="shared" ref="BH39:BS39" si="149">ROUND(($F39/12)*BH40,0)</f>
        <v>0</v>
      </c>
      <c r="BI39" s="77">
        <f t="shared" si="149"/>
        <v>0</v>
      </c>
      <c r="BJ39" s="77">
        <f t="shared" si="149"/>
        <v>0</v>
      </c>
      <c r="BK39" s="77">
        <f t="shared" si="149"/>
        <v>0</v>
      </c>
      <c r="BL39" s="77">
        <f t="shared" si="149"/>
        <v>0</v>
      </c>
      <c r="BM39" s="77">
        <f t="shared" si="149"/>
        <v>0</v>
      </c>
      <c r="BN39" s="77">
        <f t="shared" si="149"/>
        <v>0</v>
      </c>
      <c r="BO39" s="77">
        <f t="shared" si="149"/>
        <v>0</v>
      </c>
      <c r="BP39" s="77">
        <f t="shared" si="149"/>
        <v>0</v>
      </c>
      <c r="BQ39" s="77">
        <f t="shared" si="149"/>
        <v>0</v>
      </c>
      <c r="BR39" s="77">
        <f t="shared" si="149"/>
        <v>0</v>
      </c>
      <c r="BS39" s="77">
        <f t="shared" si="149"/>
        <v>0</v>
      </c>
      <c r="BT39" s="77">
        <f>SUM(BH39:BS39)</f>
        <v>0</v>
      </c>
      <c r="BU39" s="3">
        <f>T39+AG39+AT39+BG39+BT39</f>
        <v>0</v>
      </c>
    </row>
    <row r="40" spans="1:73" ht="15.75" customHeight="1">
      <c r="A40" s="2"/>
      <c r="B40" s="2"/>
      <c r="C40" s="2"/>
      <c r="D40" s="38"/>
      <c r="E40" s="2"/>
      <c r="F40" s="60"/>
      <c r="G40" s="60"/>
      <c r="H40" s="319">
        <v>0</v>
      </c>
      <c r="I40" s="60">
        <f t="shared" ref="I40:S40" si="150">H40</f>
        <v>0</v>
      </c>
      <c r="J40" s="60">
        <f t="shared" si="150"/>
        <v>0</v>
      </c>
      <c r="K40" s="60">
        <f t="shared" si="150"/>
        <v>0</v>
      </c>
      <c r="L40" s="60">
        <f t="shared" si="150"/>
        <v>0</v>
      </c>
      <c r="M40" s="60">
        <f t="shared" si="150"/>
        <v>0</v>
      </c>
      <c r="N40" s="60">
        <f t="shared" si="150"/>
        <v>0</v>
      </c>
      <c r="O40" s="60">
        <f t="shared" si="150"/>
        <v>0</v>
      </c>
      <c r="P40" s="60">
        <f t="shared" si="150"/>
        <v>0</v>
      </c>
      <c r="Q40" s="60">
        <f t="shared" si="150"/>
        <v>0</v>
      </c>
      <c r="R40" s="60">
        <f t="shared" si="150"/>
        <v>0</v>
      </c>
      <c r="S40" s="60">
        <f t="shared" si="150"/>
        <v>0</v>
      </c>
      <c r="T40" s="60"/>
      <c r="U40" s="319">
        <f t="shared" ref="U40:AF40" si="151">T40</f>
        <v>0</v>
      </c>
      <c r="V40" s="60">
        <f t="shared" si="151"/>
        <v>0</v>
      </c>
      <c r="W40" s="60">
        <f t="shared" si="151"/>
        <v>0</v>
      </c>
      <c r="X40" s="60">
        <f t="shared" si="151"/>
        <v>0</v>
      </c>
      <c r="Y40" s="60">
        <f t="shared" si="151"/>
        <v>0</v>
      </c>
      <c r="Z40" s="60">
        <f t="shared" si="151"/>
        <v>0</v>
      </c>
      <c r="AA40" s="60">
        <f t="shared" si="151"/>
        <v>0</v>
      </c>
      <c r="AB40" s="60">
        <f t="shared" si="151"/>
        <v>0</v>
      </c>
      <c r="AC40" s="60">
        <f t="shared" si="151"/>
        <v>0</v>
      </c>
      <c r="AD40" s="60">
        <f t="shared" si="151"/>
        <v>0</v>
      </c>
      <c r="AE40" s="60">
        <f t="shared" si="151"/>
        <v>0</v>
      </c>
      <c r="AF40" s="60">
        <f t="shared" si="151"/>
        <v>0</v>
      </c>
      <c r="AG40" s="60"/>
      <c r="AH40" s="319">
        <f t="shared" ref="AH40:AS40" si="152">AG40</f>
        <v>0</v>
      </c>
      <c r="AI40" s="60">
        <f t="shared" si="152"/>
        <v>0</v>
      </c>
      <c r="AJ40" s="60">
        <f t="shared" si="152"/>
        <v>0</v>
      </c>
      <c r="AK40" s="60">
        <f t="shared" si="152"/>
        <v>0</v>
      </c>
      <c r="AL40" s="60">
        <f t="shared" si="152"/>
        <v>0</v>
      </c>
      <c r="AM40" s="60">
        <f t="shared" si="152"/>
        <v>0</v>
      </c>
      <c r="AN40" s="60">
        <f t="shared" si="152"/>
        <v>0</v>
      </c>
      <c r="AO40" s="60">
        <f t="shared" si="152"/>
        <v>0</v>
      </c>
      <c r="AP40" s="60">
        <f t="shared" si="152"/>
        <v>0</v>
      </c>
      <c r="AQ40" s="60">
        <f t="shared" si="152"/>
        <v>0</v>
      </c>
      <c r="AR40" s="60">
        <f t="shared" si="152"/>
        <v>0</v>
      </c>
      <c r="AS40" s="60">
        <f t="shared" si="152"/>
        <v>0</v>
      </c>
      <c r="AT40" s="60"/>
      <c r="AU40" s="319">
        <f t="shared" ref="AU40:BF40" si="153">AT40</f>
        <v>0</v>
      </c>
      <c r="AV40" s="60">
        <f t="shared" si="153"/>
        <v>0</v>
      </c>
      <c r="AW40" s="60">
        <f t="shared" si="153"/>
        <v>0</v>
      </c>
      <c r="AX40" s="60">
        <f t="shared" si="153"/>
        <v>0</v>
      </c>
      <c r="AY40" s="60">
        <f t="shared" si="153"/>
        <v>0</v>
      </c>
      <c r="AZ40" s="60">
        <f t="shared" si="153"/>
        <v>0</v>
      </c>
      <c r="BA40" s="60">
        <f t="shared" si="153"/>
        <v>0</v>
      </c>
      <c r="BB40" s="60">
        <f t="shared" si="153"/>
        <v>0</v>
      </c>
      <c r="BC40" s="60">
        <f t="shared" si="153"/>
        <v>0</v>
      </c>
      <c r="BD40" s="60">
        <f t="shared" si="153"/>
        <v>0</v>
      </c>
      <c r="BE40" s="60">
        <f t="shared" si="153"/>
        <v>0</v>
      </c>
      <c r="BF40" s="60">
        <f t="shared" si="153"/>
        <v>0</v>
      </c>
      <c r="BG40" s="60"/>
      <c r="BH40" s="319">
        <f t="shared" ref="BH40:BS40" si="154">BG40</f>
        <v>0</v>
      </c>
      <c r="BI40" s="60">
        <f t="shared" si="154"/>
        <v>0</v>
      </c>
      <c r="BJ40" s="60">
        <f t="shared" si="154"/>
        <v>0</v>
      </c>
      <c r="BK40" s="60">
        <f t="shared" si="154"/>
        <v>0</v>
      </c>
      <c r="BL40" s="60">
        <f t="shared" si="154"/>
        <v>0</v>
      </c>
      <c r="BM40" s="60">
        <f t="shared" si="154"/>
        <v>0</v>
      </c>
      <c r="BN40" s="60">
        <f t="shared" si="154"/>
        <v>0</v>
      </c>
      <c r="BO40" s="60">
        <f t="shared" si="154"/>
        <v>0</v>
      </c>
      <c r="BP40" s="60">
        <f t="shared" si="154"/>
        <v>0</v>
      </c>
      <c r="BQ40" s="60">
        <f t="shared" si="154"/>
        <v>0</v>
      </c>
      <c r="BR40" s="60">
        <f t="shared" si="154"/>
        <v>0</v>
      </c>
      <c r="BS40" s="60">
        <f t="shared" si="154"/>
        <v>0</v>
      </c>
      <c r="BT40" s="60"/>
      <c r="BU40" s="60"/>
    </row>
    <row r="41" spans="1:73" ht="15.75" customHeight="1">
      <c r="B41" s="2"/>
      <c r="C41" s="147"/>
      <c r="D41" s="320">
        <v>0</v>
      </c>
      <c r="E41" s="3">
        <f>$E40*D$7</f>
        <v>0</v>
      </c>
      <c r="F41" s="148">
        <f>SUM(D41:E41)</f>
        <v>0</v>
      </c>
      <c r="G41" s="60"/>
      <c r="H41" s="77">
        <f t="shared" ref="H41:S41" si="155">ROUND(($F41/12)*H42,0)</f>
        <v>0</v>
      </c>
      <c r="I41" s="77">
        <f t="shared" si="155"/>
        <v>0</v>
      </c>
      <c r="J41" s="77">
        <f t="shared" si="155"/>
        <v>0</v>
      </c>
      <c r="K41" s="77">
        <f t="shared" si="155"/>
        <v>0</v>
      </c>
      <c r="L41" s="77">
        <f t="shared" si="155"/>
        <v>0</v>
      </c>
      <c r="M41" s="77">
        <f t="shared" si="155"/>
        <v>0</v>
      </c>
      <c r="N41" s="77">
        <f t="shared" si="155"/>
        <v>0</v>
      </c>
      <c r="O41" s="77">
        <f t="shared" si="155"/>
        <v>0</v>
      </c>
      <c r="P41" s="77">
        <f t="shared" si="155"/>
        <v>0</v>
      </c>
      <c r="Q41" s="77">
        <f t="shared" si="155"/>
        <v>0</v>
      </c>
      <c r="R41" s="77">
        <f t="shared" si="155"/>
        <v>0</v>
      </c>
      <c r="S41" s="77">
        <f t="shared" si="155"/>
        <v>0</v>
      </c>
      <c r="T41" s="77">
        <f>SUM(H41:S41)</f>
        <v>0</v>
      </c>
      <c r="U41" s="77">
        <f t="shared" ref="U41:AF41" si="156">ROUND(($F41/12)*U42,0)</f>
        <v>0</v>
      </c>
      <c r="V41" s="77">
        <f t="shared" si="156"/>
        <v>0</v>
      </c>
      <c r="W41" s="77">
        <f t="shared" si="156"/>
        <v>0</v>
      </c>
      <c r="X41" s="77">
        <f t="shared" si="156"/>
        <v>0</v>
      </c>
      <c r="Y41" s="77">
        <f t="shared" si="156"/>
        <v>0</v>
      </c>
      <c r="Z41" s="77">
        <f t="shared" si="156"/>
        <v>0</v>
      </c>
      <c r="AA41" s="77">
        <f t="shared" si="156"/>
        <v>0</v>
      </c>
      <c r="AB41" s="77">
        <f t="shared" si="156"/>
        <v>0</v>
      </c>
      <c r="AC41" s="77">
        <f t="shared" si="156"/>
        <v>0</v>
      </c>
      <c r="AD41" s="77">
        <f t="shared" si="156"/>
        <v>0</v>
      </c>
      <c r="AE41" s="77">
        <f t="shared" si="156"/>
        <v>0</v>
      </c>
      <c r="AF41" s="77">
        <f t="shared" si="156"/>
        <v>0</v>
      </c>
      <c r="AG41" s="77">
        <f>SUM(U41:AF41)</f>
        <v>0</v>
      </c>
      <c r="AH41" s="77">
        <f t="shared" ref="AH41:AS41" si="157">ROUND(($F41/12)*AH42,0)</f>
        <v>0</v>
      </c>
      <c r="AI41" s="77">
        <f t="shared" si="157"/>
        <v>0</v>
      </c>
      <c r="AJ41" s="77">
        <f t="shared" si="157"/>
        <v>0</v>
      </c>
      <c r="AK41" s="77">
        <f t="shared" si="157"/>
        <v>0</v>
      </c>
      <c r="AL41" s="77">
        <f t="shared" si="157"/>
        <v>0</v>
      </c>
      <c r="AM41" s="77">
        <f t="shared" si="157"/>
        <v>0</v>
      </c>
      <c r="AN41" s="77">
        <f t="shared" si="157"/>
        <v>0</v>
      </c>
      <c r="AO41" s="77">
        <f t="shared" si="157"/>
        <v>0</v>
      </c>
      <c r="AP41" s="77">
        <f t="shared" si="157"/>
        <v>0</v>
      </c>
      <c r="AQ41" s="77">
        <f t="shared" si="157"/>
        <v>0</v>
      </c>
      <c r="AR41" s="77">
        <f t="shared" si="157"/>
        <v>0</v>
      </c>
      <c r="AS41" s="77">
        <f t="shared" si="157"/>
        <v>0</v>
      </c>
      <c r="AT41" s="77">
        <f>SUM(AH41:AS41)</f>
        <v>0</v>
      </c>
      <c r="AU41" s="77">
        <f t="shared" ref="AU41:BF41" si="158">ROUND(($F41/12)*AU42,0)</f>
        <v>0</v>
      </c>
      <c r="AV41" s="77">
        <f t="shared" si="158"/>
        <v>0</v>
      </c>
      <c r="AW41" s="77">
        <f t="shared" si="158"/>
        <v>0</v>
      </c>
      <c r="AX41" s="77">
        <f t="shared" si="158"/>
        <v>0</v>
      </c>
      <c r="AY41" s="77">
        <f t="shared" si="158"/>
        <v>0</v>
      </c>
      <c r="AZ41" s="77">
        <f t="shared" si="158"/>
        <v>0</v>
      </c>
      <c r="BA41" s="77">
        <f t="shared" si="158"/>
        <v>0</v>
      </c>
      <c r="BB41" s="77">
        <f t="shared" si="158"/>
        <v>0</v>
      </c>
      <c r="BC41" s="77">
        <f t="shared" si="158"/>
        <v>0</v>
      </c>
      <c r="BD41" s="77">
        <f t="shared" si="158"/>
        <v>0</v>
      </c>
      <c r="BE41" s="77">
        <f t="shared" si="158"/>
        <v>0</v>
      </c>
      <c r="BF41" s="77">
        <f t="shared" si="158"/>
        <v>0</v>
      </c>
      <c r="BG41" s="77">
        <f>SUM(AU41:BF41)</f>
        <v>0</v>
      </c>
      <c r="BH41" s="77">
        <f t="shared" ref="BH41:BS41" si="159">ROUND(($F41/12)*BH42,0)</f>
        <v>0</v>
      </c>
      <c r="BI41" s="77">
        <f t="shared" si="159"/>
        <v>0</v>
      </c>
      <c r="BJ41" s="77">
        <f t="shared" si="159"/>
        <v>0</v>
      </c>
      <c r="BK41" s="77">
        <f t="shared" si="159"/>
        <v>0</v>
      </c>
      <c r="BL41" s="77">
        <f t="shared" si="159"/>
        <v>0</v>
      </c>
      <c r="BM41" s="77">
        <f t="shared" si="159"/>
        <v>0</v>
      </c>
      <c r="BN41" s="77">
        <f t="shared" si="159"/>
        <v>0</v>
      </c>
      <c r="BO41" s="77">
        <f t="shared" si="159"/>
        <v>0</v>
      </c>
      <c r="BP41" s="77">
        <f t="shared" si="159"/>
        <v>0</v>
      </c>
      <c r="BQ41" s="77">
        <f t="shared" si="159"/>
        <v>0</v>
      </c>
      <c r="BR41" s="77">
        <f t="shared" si="159"/>
        <v>0</v>
      </c>
      <c r="BS41" s="77">
        <f t="shared" si="159"/>
        <v>0</v>
      </c>
      <c r="BT41" s="77">
        <f>SUM(BH41:BS41)</f>
        <v>0</v>
      </c>
      <c r="BU41" s="3">
        <f>T41+AG41+AT41+BG41+BT41</f>
        <v>0</v>
      </c>
    </row>
    <row r="42" spans="1:73" ht="15.75" customHeight="1">
      <c r="A42" s="2"/>
      <c r="B42" s="2"/>
      <c r="C42" s="2"/>
      <c r="D42" s="38"/>
      <c r="E42" s="2"/>
      <c r="F42" s="60"/>
      <c r="G42" s="60"/>
      <c r="H42" s="319">
        <v>0</v>
      </c>
      <c r="I42" s="60">
        <f t="shared" ref="I42:S42" si="160">H42</f>
        <v>0</v>
      </c>
      <c r="J42" s="60">
        <f t="shared" si="160"/>
        <v>0</v>
      </c>
      <c r="K42" s="60">
        <f t="shared" si="160"/>
        <v>0</v>
      </c>
      <c r="L42" s="60">
        <f t="shared" si="160"/>
        <v>0</v>
      </c>
      <c r="M42" s="60">
        <f t="shared" si="160"/>
        <v>0</v>
      </c>
      <c r="N42" s="60">
        <f t="shared" si="160"/>
        <v>0</v>
      </c>
      <c r="O42" s="60">
        <f t="shared" si="160"/>
        <v>0</v>
      </c>
      <c r="P42" s="60">
        <f t="shared" si="160"/>
        <v>0</v>
      </c>
      <c r="Q42" s="60">
        <f t="shared" si="160"/>
        <v>0</v>
      </c>
      <c r="R42" s="60">
        <f t="shared" si="160"/>
        <v>0</v>
      </c>
      <c r="S42" s="60">
        <f t="shared" si="160"/>
        <v>0</v>
      </c>
      <c r="T42" s="60"/>
      <c r="U42" s="319">
        <f t="shared" ref="U42:AF42" si="161">T42</f>
        <v>0</v>
      </c>
      <c r="V42" s="60">
        <f t="shared" si="161"/>
        <v>0</v>
      </c>
      <c r="W42" s="60">
        <f t="shared" si="161"/>
        <v>0</v>
      </c>
      <c r="X42" s="60">
        <f t="shared" si="161"/>
        <v>0</v>
      </c>
      <c r="Y42" s="60">
        <f t="shared" si="161"/>
        <v>0</v>
      </c>
      <c r="Z42" s="60">
        <f t="shared" si="161"/>
        <v>0</v>
      </c>
      <c r="AA42" s="60">
        <f t="shared" si="161"/>
        <v>0</v>
      </c>
      <c r="AB42" s="60">
        <f t="shared" si="161"/>
        <v>0</v>
      </c>
      <c r="AC42" s="60">
        <f t="shared" si="161"/>
        <v>0</v>
      </c>
      <c r="AD42" s="60">
        <f t="shared" si="161"/>
        <v>0</v>
      </c>
      <c r="AE42" s="60">
        <f t="shared" si="161"/>
        <v>0</v>
      </c>
      <c r="AF42" s="60">
        <f t="shared" si="161"/>
        <v>0</v>
      </c>
      <c r="AG42" s="60"/>
      <c r="AH42" s="319">
        <f t="shared" ref="AH42:AS42" si="162">AG42</f>
        <v>0</v>
      </c>
      <c r="AI42" s="60">
        <f t="shared" si="162"/>
        <v>0</v>
      </c>
      <c r="AJ42" s="60">
        <f t="shared" si="162"/>
        <v>0</v>
      </c>
      <c r="AK42" s="60">
        <f t="shared" si="162"/>
        <v>0</v>
      </c>
      <c r="AL42" s="60">
        <f t="shared" si="162"/>
        <v>0</v>
      </c>
      <c r="AM42" s="60">
        <f t="shared" si="162"/>
        <v>0</v>
      </c>
      <c r="AN42" s="60">
        <f t="shared" si="162"/>
        <v>0</v>
      </c>
      <c r="AO42" s="60">
        <f t="shared" si="162"/>
        <v>0</v>
      </c>
      <c r="AP42" s="60">
        <f t="shared" si="162"/>
        <v>0</v>
      </c>
      <c r="AQ42" s="60">
        <f t="shared" si="162"/>
        <v>0</v>
      </c>
      <c r="AR42" s="60">
        <f t="shared" si="162"/>
        <v>0</v>
      </c>
      <c r="AS42" s="60">
        <f t="shared" si="162"/>
        <v>0</v>
      </c>
      <c r="AT42" s="60"/>
      <c r="AU42" s="319">
        <f t="shared" ref="AU42:BF42" si="163">AT42</f>
        <v>0</v>
      </c>
      <c r="AV42" s="60">
        <f t="shared" si="163"/>
        <v>0</v>
      </c>
      <c r="AW42" s="60">
        <f t="shared" si="163"/>
        <v>0</v>
      </c>
      <c r="AX42" s="60">
        <f t="shared" si="163"/>
        <v>0</v>
      </c>
      <c r="AY42" s="60">
        <f t="shared" si="163"/>
        <v>0</v>
      </c>
      <c r="AZ42" s="60">
        <f t="shared" si="163"/>
        <v>0</v>
      </c>
      <c r="BA42" s="60">
        <f t="shared" si="163"/>
        <v>0</v>
      </c>
      <c r="BB42" s="60">
        <f t="shared" si="163"/>
        <v>0</v>
      </c>
      <c r="BC42" s="60">
        <f t="shared" si="163"/>
        <v>0</v>
      </c>
      <c r="BD42" s="60">
        <f t="shared" si="163"/>
        <v>0</v>
      </c>
      <c r="BE42" s="60">
        <f t="shared" si="163"/>
        <v>0</v>
      </c>
      <c r="BF42" s="60">
        <f t="shared" si="163"/>
        <v>0</v>
      </c>
      <c r="BG42" s="60"/>
      <c r="BH42" s="319">
        <f t="shared" ref="BH42:BS42" si="164">BG42</f>
        <v>0</v>
      </c>
      <c r="BI42" s="60">
        <f t="shared" si="164"/>
        <v>0</v>
      </c>
      <c r="BJ42" s="60">
        <f t="shared" si="164"/>
        <v>0</v>
      </c>
      <c r="BK42" s="60">
        <f t="shared" si="164"/>
        <v>0</v>
      </c>
      <c r="BL42" s="60">
        <f t="shared" si="164"/>
        <v>0</v>
      </c>
      <c r="BM42" s="60">
        <f t="shared" si="164"/>
        <v>0</v>
      </c>
      <c r="BN42" s="60">
        <f t="shared" si="164"/>
        <v>0</v>
      </c>
      <c r="BO42" s="60">
        <f t="shared" si="164"/>
        <v>0</v>
      </c>
      <c r="BP42" s="60">
        <f t="shared" si="164"/>
        <v>0</v>
      </c>
      <c r="BQ42" s="60">
        <f t="shared" si="164"/>
        <v>0</v>
      </c>
      <c r="BR42" s="60">
        <f t="shared" si="164"/>
        <v>0</v>
      </c>
      <c r="BS42" s="60">
        <f t="shared" si="164"/>
        <v>0</v>
      </c>
      <c r="BT42" s="60"/>
      <c r="BU42" s="60"/>
    </row>
    <row r="43" spans="1:73" ht="15.75" customHeight="1">
      <c r="B43" s="2"/>
      <c r="C43" s="147"/>
      <c r="D43" s="320">
        <v>0</v>
      </c>
      <c r="E43" s="3">
        <f>$E42*D$7</f>
        <v>0</v>
      </c>
      <c r="F43" s="148">
        <f>SUM(D43:E43)</f>
        <v>0</v>
      </c>
      <c r="G43" s="60"/>
      <c r="H43" s="77">
        <f t="shared" ref="H43:S43" si="165">ROUND(($F43/12)*H44,0)</f>
        <v>0</v>
      </c>
      <c r="I43" s="77">
        <f t="shared" si="165"/>
        <v>0</v>
      </c>
      <c r="J43" s="77">
        <f t="shared" si="165"/>
        <v>0</v>
      </c>
      <c r="K43" s="77">
        <f t="shared" si="165"/>
        <v>0</v>
      </c>
      <c r="L43" s="77">
        <f t="shared" si="165"/>
        <v>0</v>
      </c>
      <c r="M43" s="77">
        <f t="shared" si="165"/>
        <v>0</v>
      </c>
      <c r="N43" s="77">
        <f t="shared" si="165"/>
        <v>0</v>
      </c>
      <c r="O43" s="77">
        <f t="shared" si="165"/>
        <v>0</v>
      </c>
      <c r="P43" s="77">
        <f t="shared" si="165"/>
        <v>0</v>
      </c>
      <c r="Q43" s="77">
        <f t="shared" si="165"/>
        <v>0</v>
      </c>
      <c r="R43" s="77">
        <f t="shared" si="165"/>
        <v>0</v>
      </c>
      <c r="S43" s="77">
        <f t="shared" si="165"/>
        <v>0</v>
      </c>
      <c r="T43" s="77">
        <f>SUM(H43:S43)</f>
        <v>0</v>
      </c>
      <c r="U43" s="77">
        <f t="shared" ref="U43:AF43" si="166">ROUND(($F43/12)*U44,0)</f>
        <v>0</v>
      </c>
      <c r="V43" s="77">
        <f t="shared" si="166"/>
        <v>0</v>
      </c>
      <c r="W43" s="77">
        <f t="shared" si="166"/>
        <v>0</v>
      </c>
      <c r="X43" s="77">
        <f t="shared" si="166"/>
        <v>0</v>
      </c>
      <c r="Y43" s="77">
        <f t="shared" si="166"/>
        <v>0</v>
      </c>
      <c r="Z43" s="77">
        <f t="shared" si="166"/>
        <v>0</v>
      </c>
      <c r="AA43" s="77">
        <f t="shared" si="166"/>
        <v>0</v>
      </c>
      <c r="AB43" s="77">
        <f t="shared" si="166"/>
        <v>0</v>
      </c>
      <c r="AC43" s="77">
        <f t="shared" si="166"/>
        <v>0</v>
      </c>
      <c r="AD43" s="77">
        <f t="shared" si="166"/>
        <v>0</v>
      </c>
      <c r="AE43" s="77">
        <f t="shared" si="166"/>
        <v>0</v>
      </c>
      <c r="AF43" s="77">
        <f t="shared" si="166"/>
        <v>0</v>
      </c>
      <c r="AG43" s="77">
        <f>SUM(U43:AF43)</f>
        <v>0</v>
      </c>
      <c r="AH43" s="77">
        <f t="shared" ref="AH43:AS43" si="167">ROUND(($F43/12)*AH44,0)</f>
        <v>0</v>
      </c>
      <c r="AI43" s="77">
        <f t="shared" si="167"/>
        <v>0</v>
      </c>
      <c r="AJ43" s="77">
        <f t="shared" si="167"/>
        <v>0</v>
      </c>
      <c r="AK43" s="77">
        <f t="shared" si="167"/>
        <v>0</v>
      </c>
      <c r="AL43" s="77">
        <f t="shared" si="167"/>
        <v>0</v>
      </c>
      <c r="AM43" s="77">
        <f t="shared" si="167"/>
        <v>0</v>
      </c>
      <c r="AN43" s="77">
        <f t="shared" si="167"/>
        <v>0</v>
      </c>
      <c r="AO43" s="77">
        <f t="shared" si="167"/>
        <v>0</v>
      </c>
      <c r="AP43" s="77">
        <f t="shared" si="167"/>
        <v>0</v>
      </c>
      <c r="AQ43" s="77">
        <f t="shared" si="167"/>
        <v>0</v>
      </c>
      <c r="AR43" s="77">
        <f t="shared" si="167"/>
        <v>0</v>
      </c>
      <c r="AS43" s="77">
        <f t="shared" si="167"/>
        <v>0</v>
      </c>
      <c r="AT43" s="77">
        <f>SUM(AH43:AS43)</f>
        <v>0</v>
      </c>
      <c r="AU43" s="77">
        <f t="shared" ref="AU43:BF43" si="168">ROUND(($F43/12)*AU44,0)</f>
        <v>0</v>
      </c>
      <c r="AV43" s="77">
        <f t="shared" si="168"/>
        <v>0</v>
      </c>
      <c r="AW43" s="77">
        <f t="shared" si="168"/>
        <v>0</v>
      </c>
      <c r="AX43" s="77">
        <f t="shared" si="168"/>
        <v>0</v>
      </c>
      <c r="AY43" s="77">
        <f t="shared" si="168"/>
        <v>0</v>
      </c>
      <c r="AZ43" s="77">
        <f t="shared" si="168"/>
        <v>0</v>
      </c>
      <c r="BA43" s="77">
        <f t="shared" si="168"/>
        <v>0</v>
      </c>
      <c r="BB43" s="77">
        <f t="shared" si="168"/>
        <v>0</v>
      </c>
      <c r="BC43" s="77">
        <f t="shared" si="168"/>
        <v>0</v>
      </c>
      <c r="BD43" s="77">
        <f t="shared" si="168"/>
        <v>0</v>
      </c>
      <c r="BE43" s="77">
        <f t="shared" si="168"/>
        <v>0</v>
      </c>
      <c r="BF43" s="77">
        <f t="shared" si="168"/>
        <v>0</v>
      </c>
      <c r="BG43" s="77">
        <f>SUM(AU43:BF43)</f>
        <v>0</v>
      </c>
      <c r="BH43" s="77">
        <f t="shared" ref="BH43:BS43" si="169">ROUND(($F43/12)*BH44,0)</f>
        <v>0</v>
      </c>
      <c r="BI43" s="77">
        <f t="shared" si="169"/>
        <v>0</v>
      </c>
      <c r="BJ43" s="77">
        <f t="shared" si="169"/>
        <v>0</v>
      </c>
      <c r="BK43" s="77">
        <f t="shared" si="169"/>
        <v>0</v>
      </c>
      <c r="BL43" s="77">
        <f t="shared" si="169"/>
        <v>0</v>
      </c>
      <c r="BM43" s="77">
        <f t="shared" si="169"/>
        <v>0</v>
      </c>
      <c r="BN43" s="77">
        <f t="shared" si="169"/>
        <v>0</v>
      </c>
      <c r="BO43" s="77">
        <f t="shared" si="169"/>
        <v>0</v>
      </c>
      <c r="BP43" s="77">
        <f t="shared" si="169"/>
        <v>0</v>
      </c>
      <c r="BQ43" s="77">
        <f t="shared" si="169"/>
        <v>0</v>
      </c>
      <c r="BR43" s="77">
        <f t="shared" si="169"/>
        <v>0</v>
      </c>
      <c r="BS43" s="77">
        <f t="shared" si="169"/>
        <v>0</v>
      </c>
      <c r="BT43" s="77">
        <f>SUM(BH43:BS43)</f>
        <v>0</v>
      </c>
      <c r="BU43" s="3">
        <f>T43+AG43+AT43+BG43+BT43</f>
        <v>0</v>
      </c>
    </row>
    <row r="44" spans="1:73" ht="15.75" customHeight="1">
      <c r="A44" s="2"/>
      <c r="B44" s="2"/>
      <c r="C44" s="2"/>
      <c r="D44" s="38"/>
      <c r="E44" s="2"/>
      <c r="F44" s="60"/>
      <c r="G44" s="60"/>
      <c r="H44" s="319">
        <v>0</v>
      </c>
      <c r="I44" s="60">
        <f t="shared" ref="I44:S44" si="170">H44</f>
        <v>0</v>
      </c>
      <c r="J44" s="60">
        <f t="shared" si="170"/>
        <v>0</v>
      </c>
      <c r="K44" s="60">
        <f t="shared" si="170"/>
        <v>0</v>
      </c>
      <c r="L44" s="60">
        <f t="shared" si="170"/>
        <v>0</v>
      </c>
      <c r="M44" s="60">
        <f t="shared" si="170"/>
        <v>0</v>
      </c>
      <c r="N44" s="60">
        <f t="shared" si="170"/>
        <v>0</v>
      </c>
      <c r="O44" s="60">
        <f t="shared" si="170"/>
        <v>0</v>
      </c>
      <c r="P44" s="60">
        <f t="shared" si="170"/>
        <v>0</v>
      </c>
      <c r="Q44" s="60">
        <f t="shared" si="170"/>
        <v>0</v>
      </c>
      <c r="R44" s="60">
        <f t="shared" si="170"/>
        <v>0</v>
      </c>
      <c r="S44" s="60">
        <f t="shared" si="170"/>
        <v>0</v>
      </c>
      <c r="T44" s="60"/>
      <c r="U44" s="319">
        <f t="shared" ref="U44:AF44" si="171">T44</f>
        <v>0</v>
      </c>
      <c r="V44" s="60">
        <f t="shared" si="171"/>
        <v>0</v>
      </c>
      <c r="W44" s="60">
        <f t="shared" si="171"/>
        <v>0</v>
      </c>
      <c r="X44" s="60">
        <f t="shared" si="171"/>
        <v>0</v>
      </c>
      <c r="Y44" s="60">
        <f t="shared" si="171"/>
        <v>0</v>
      </c>
      <c r="Z44" s="60">
        <f t="shared" si="171"/>
        <v>0</v>
      </c>
      <c r="AA44" s="60">
        <f t="shared" si="171"/>
        <v>0</v>
      </c>
      <c r="AB44" s="60">
        <f t="shared" si="171"/>
        <v>0</v>
      </c>
      <c r="AC44" s="60">
        <f t="shared" si="171"/>
        <v>0</v>
      </c>
      <c r="AD44" s="60">
        <f t="shared" si="171"/>
        <v>0</v>
      </c>
      <c r="AE44" s="60">
        <f t="shared" si="171"/>
        <v>0</v>
      </c>
      <c r="AF44" s="60">
        <f t="shared" si="171"/>
        <v>0</v>
      </c>
      <c r="AG44" s="60"/>
      <c r="AH44" s="319">
        <f t="shared" ref="AH44:AS44" si="172">AG44</f>
        <v>0</v>
      </c>
      <c r="AI44" s="60">
        <f t="shared" si="172"/>
        <v>0</v>
      </c>
      <c r="AJ44" s="60">
        <f t="shared" si="172"/>
        <v>0</v>
      </c>
      <c r="AK44" s="60">
        <f t="shared" si="172"/>
        <v>0</v>
      </c>
      <c r="AL44" s="60">
        <f t="shared" si="172"/>
        <v>0</v>
      </c>
      <c r="AM44" s="60">
        <f t="shared" si="172"/>
        <v>0</v>
      </c>
      <c r="AN44" s="60">
        <f t="shared" si="172"/>
        <v>0</v>
      </c>
      <c r="AO44" s="60">
        <f t="shared" si="172"/>
        <v>0</v>
      </c>
      <c r="AP44" s="60">
        <f t="shared" si="172"/>
        <v>0</v>
      </c>
      <c r="AQ44" s="60">
        <f t="shared" si="172"/>
        <v>0</v>
      </c>
      <c r="AR44" s="60">
        <f t="shared" si="172"/>
        <v>0</v>
      </c>
      <c r="AS44" s="60">
        <f t="shared" si="172"/>
        <v>0</v>
      </c>
      <c r="AT44" s="60"/>
      <c r="AU44" s="319">
        <f t="shared" ref="AU44:BF44" si="173">AT44</f>
        <v>0</v>
      </c>
      <c r="AV44" s="60">
        <f t="shared" si="173"/>
        <v>0</v>
      </c>
      <c r="AW44" s="60">
        <f t="shared" si="173"/>
        <v>0</v>
      </c>
      <c r="AX44" s="60">
        <f t="shared" si="173"/>
        <v>0</v>
      </c>
      <c r="AY44" s="60">
        <f t="shared" si="173"/>
        <v>0</v>
      </c>
      <c r="AZ44" s="60">
        <f t="shared" si="173"/>
        <v>0</v>
      </c>
      <c r="BA44" s="60">
        <f t="shared" si="173"/>
        <v>0</v>
      </c>
      <c r="BB44" s="60">
        <f t="shared" si="173"/>
        <v>0</v>
      </c>
      <c r="BC44" s="60">
        <f t="shared" si="173"/>
        <v>0</v>
      </c>
      <c r="BD44" s="60">
        <f t="shared" si="173"/>
        <v>0</v>
      </c>
      <c r="BE44" s="60">
        <f t="shared" si="173"/>
        <v>0</v>
      </c>
      <c r="BF44" s="60">
        <f t="shared" si="173"/>
        <v>0</v>
      </c>
      <c r="BG44" s="60"/>
      <c r="BH44" s="319">
        <f t="shared" ref="BH44:BS44" si="174">BG44</f>
        <v>0</v>
      </c>
      <c r="BI44" s="60">
        <f t="shared" si="174"/>
        <v>0</v>
      </c>
      <c r="BJ44" s="60">
        <f t="shared" si="174"/>
        <v>0</v>
      </c>
      <c r="BK44" s="60">
        <f t="shared" si="174"/>
        <v>0</v>
      </c>
      <c r="BL44" s="60">
        <f t="shared" si="174"/>
        <v>0</v>
      </c>
      <c r="BM44" s="60">
        <f t="shared" si="174"/>
        <v>0</v>
      </c>
      <c r="BN44" s="60">
        <f t="shared" si="174"/>
        <v>0</v>
      </c>
      <c r="BO44" s="60">
        <f t="shared" si="174"/>
        <v>0</v>
      </c>
      <c r="BP44" s="60">
        <f t="shared" si="174"/>
        <v>0</v>
      </c>
      <c r="BQ44" s="60">
        <f t="shared" si="174"/>
        <v>0</v>
      </c>
      <c r="BR44" s="60">
        <f t="shared" si="174"/>
        <v>0</v>
      </c>
      <c r="BS44" s="60">
        <f t="shared" si="174"/>
        <v>0</v>
      </c>
      <c r="BT44" s="60"/>
      <c r="BU44" s="60"/>
    </row>
    <row r="45" spans="1:73" ht="15.75" customHeight="1">
      <c r="A45" s="2"/>
      <c r="B45" s="2"/>
      <c r="C45" s="48" t="str">
        <f>CONCATENATE("   Sub-total ",B34)</f>
        <v xml:space="preserve">   Sub-total Kitchen</v>
      </c>
      <c r="D45" s="38"/>
      <c r="E45" s="2"/>
      <c r="F45" s="60"/>
      <c r="G45" s="60"/>
      <c r="H45" s="18">
        <f t="shared" ref="H45:BT45" si="175">H35+H37+H39+H41+H43</f>
        <v>5308</v>
      </c>
      <c r="I45" s="18">
        <f t="shared" si="175"/>
        <v>5308</v>
      </c>
      <c r="J45" s="18">
        <f t="shared" si="175"/>
        <v>5308</v>
      </c>
      <c r="K45" s="18">
        <f t="shared" si="175"/>
        <v>5308</v>
      </c>
      <c r="L45" s="18">
        <f t="shared" si="175"/>
        <v>5308</v>
      </c>
      <c r="M45" s="18">
        <f t="shared" si="175"/>
        <v>5308</v>
      </c>
      <c r="N45" s="18">
        <f t="shared" si="175"/>
        <v>5308</v>
      </c>
      <c r="O45" s="18">
        <f t="shared" si="175"/>
        <v>5308</v>
      </c>
      <c r="P45" s="18">
        <f t="shared" si="175"/>
        <v>5308</v>
      </c>
      <c r="Q45" s="18">
        <f t="shared" si="175"/>
        <v>5308</v>
      </c>
      <c r="R45" s="18">
        <f t="shared" si="175"/>
        <v>5308</v>
      </c>
      <c r="S45" s="18">
        <f t="shared" si="175"/>
        <v>5308</v>
      </c>
      <c r="T45" s="18">
        <f t="shared" si="175"/>
        <v>63696</v>
      </c>
      <c r="U45" s="18">
        <f t="shared" si="175"/>
        <v>6283</v>
      </c>
      <c r="V45" s="18">
        <f t="shared" si="175"/>
        <v>6283</v>
      </c>
      <c r="W45" s="18">
        <f t="shared" si="175"/>
        <v>6283</v>
      </c>
      <c r="X45" s="18">
        <f t="shared" si="175"/>
        <v>6283</v>
      </c>
      <c r="Y45" s="18">
        <f t="shared" si="175"/>
        <v>6283</v>
      </c>
      <c r="Z45" s="18">
        <f t="shared" si="175"/>
        <v>6283</v>
      </c>
      <c r="AA45" s="18">
        <f t="shared" si="175"/>
        <v>6283</v>
      </c>
      <c r="AB45" s="18">
        <f t="shared" si="175"/>
        <v>6283</v>
      </c>
      <c r="AC45" s="18">
        <f t="shared" si="175"/>
        <v>6283</v>
      </c>
      <c r="AD45" s="18">
        <f t="shared" si="175"/>
        <v>6283</v>
      </c>
      <c r="AE45" s="18">
        <f t="shared" si="175"/>
        <v>6283</v>
      </c>
      <c r="AF45" s="18">
        <f t="shared" si="175"/>
        <v>6283</v>
      </c>
      <c r="AG45" s="18">
        <f t="shared" si="175"/>
        <v>75396</v>
      </c>
      <c r="AH45" s="18">
        <f t="shared" si="175"/>
        <v>7258</v>
      </c>
      <c r="AI45" s="18">
        <f t="shared" si="175"/>
        <v>7258</v>
      </c>
      <c r="AJ45" s="18">
        <f t="shared" si="175"/>
        <v>7258</v>
      </c>
      <c r="AK45" s="18">
        <f t="shared" si="175"/>
        <v>7258</v>
      </c>
      <c r="AL45" s="18">
        <f t="shared" si="175"/>
        <v>7258</v>
      </c>
      <c r="AM45" s="18">
        <f t="shared" si="175"/>
        <v>7258</v>
      </c>
      <c r="AN45" s="18">
        <f t="shared" si="175"/>
        <v>7258</v>
      </c>
      <c r="AO45" s="18">
        <f t="shared" si="175"/>
        <v>7258</v>
      </c>
      <c r="AP45" s="18">
        <f t="shared" si="175"/>
        <v>7258</v>
      </c>
      <c r="AQ45" s="18">
        <f t="shared" si="175"/>
        <v>7258</v>
      </c>
      <c r="AR45" s="18">
        <f t="shared" si="175"/>
        <v>7258</v>
      </c>
      <c r="AS45" s="18">
        <f t="shared" si="175"/>
        <v>7258</v>
      </c>
      <c r="AT45" s="18">
        <f t="shared" si="175"/>
        <v>87096</v>
      </c>
      <c r="AU45" s="18">
        <f t="shared" si="175"/>
        <v>8233</v>
      </c>
      <c r="AV45" s="18">
        <f t="shared" si="175"/>
        <v>8233</v>
      </c>
      <c r="AW45" s="18">
        <f t="shared" si="175"/>
        <v>8233</v>
      </c>
      <c r="AX45" s="18">
        <f t="shared" si="175"/>
        <v>8233</v>
      </c>
      <c r="AY45" s="18">
        <f t="shared" si="175"/>
        <v>8233</v>
      </c>
      <c r="AZ45" s="18">
        <f t="shared" si="175"/>
        <v>8233</v>
      </c>
      <c r="BA45" s="18">
        <f t="shared" si="175"/>
        <v>8233</v>
      </c>
      <c r="BB45" s="18">
        <f t="shared" si="175"/>
        <v>8233</v>
      </c>
      <c r="BC45" s="18">
        <f t="shared" si="175"/>
        <v>8233</v>
      </c>
      <c r="BD45" s="18">
        <f t="shared" si="175"/>
        <v>8233</v>
      </c>
      <c r="BE45" s="18">
        <f t="shared" si="175"/>
        <v>8233</v>
      </c>
      <c r="BF45" s="18">
        <f t="shared" si="175"/>
        <v>8233</v>
      </c>
      <c r="BG45" s="18">
        <f t="shared" si="175"/>
        <v>98796</v>
      </c>
      <c r="BH45" s="18">
        <f t="shared" si="175"/>
        <v>8233</v>
      </c>
      <c r="BI45" s="18">
        <f t="shared" si="175"/>
        <v>8233</v>
      </c>
      <c r="BJ45" s="18">
        <f t="shared" si="175"/>
        <v>8233</v>
      </c>
      <c r="BK45" s="18">
        <f t="shared" si="175"/>
        <v>8233</v>
      </c>
      <c r="BL45" s="18">
        <f t="shared" si="175"/>
        <v>8233</v>
      </c>
      <c r="BM45" s="18">
        <f t="shared" si="175"/>
        <v>8233</v>
      </c>
      <c r="BN45" s="18">
        <f t="shared" si="175"/>
        <v>8233</v>
      </c>
      <c r="BO45" s="18">
        <f t="shared" si="175"/>
        <v>8233</v>
      </c>
      <c r="BP45" s="18">
        <f t="shared" si="175"/>
        <v>8233</v>
      </c>
      <c r="BQ45" s="18">
        <f t="shared" si="175"/>
        <v>8233</v>
      </c>
      <c r="BR45" s="18">
        <f t="shared" si="175"/>
        <v>8233</v>
      </c>
      <c r="BS45" s="18">
        <f t="shared" si="175"/>
        <v>8233</v>
      </c>
      <c r="BT45" s="18">
        <f t="shared" si="175"/>
        <v>98796</v>
      </c>
      <c r="BU45" s="18">
        <f>SUM(BU35:BU44)</f>
        <v>423780</v>
      </c>
    </row>
    <row r="46" spans="1:73" ht="15.75" customHeight="1">
      <c r="A46" s="2"/>
      <c r="B46" s="2"/>
      <c r="C46" s="257"/>
      <c r="D46" s="38"/>
      <c r="E46" s="2"/>
      <c r="F46" s="60"/>
      <c r="G46" s="60"/>
      <c r="H46" s="308"/>
      <c r="I46" s="308"/>
      <c r="J46" s="308"/>
      <c r="K46" s="308"/>
      <c r="L46" s="308"/>
      <c r="M46" s="308"/>
      <c r="N46" s="308"/>
      <c r="O46" s="308"/>
      <c r="P46" s="308"/>
      <c r="Q46" s="308"/>
      <c r="R46" s="308"/>
      <c r="S46" s="308"/>
      <c r="T46" s="308"/>
      <c r="U46" s="308"/>
      <c r="V46" s="308"/>
      <c r="W46" s="308"/>
      <c r="X46" s="308"/>
      <c r="Y46" s="308"/>
      <c r="Z46" s="308"/>
      <c r="AA46" s="308"/>
      <c r="AB46" s="308"/>
      <c r="AC46" s="308"/>
      <c r="AD46" s="308"/>
      <c r="AE46" s="308"/>
      <c r="AF46" s="308"/>
      <c r="AG46" s="308"/>
      <c r="AH46" s="308"/>
      <c r="AI46" s="308"/>
      <c r="AJ46" s="308"/>
      <c r="AK46" s="308"/>
      <c r="AL46" s="308"/>
      <c r="AM46" s="308"/>
      <c r="AN46" s="308"/>
      <c r="AO46" s="308"/>
      <c r="AP46" s="308"/>
      <c r="AQ46" s="308"/>
      <c r="AR46" s="308"/>
      <c r="AS46" s="308"/>
      <c r="AT46" s="308"/>
      <c r="AU46" s="308"/>
      <c r="AV46" s="308"/>
      <c r="AW46" s="308"/>
      <c r="AX46" s="308"/>
      <c r="AY46" s="308"/>
      <c r="AZ46" s="308"/>
      <c r="BA46" s="308"/>
      <c r="BB46" s="308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08"/>
      <c r="BS46" s="308"/>
      <c r="BT46" s="308"/>
      <c r="BU46" s="308"/>
    </row>
    <row r="47" spans="1:73" ht="15.75" customHeight="1">
      <c r="A47" s="2"/>
      <c r="B47" s="2"/>
      <c r="C47" s="257"/>
      <c r="D47" s="38"/>
      <c r="E47" s="2"/>
      <c r="F47" s="60" t="s">
        <v>663</v>
      </c>
      <c r="G47" s="60"/>
      <c r="H47" s="370">
        <f>H36+H38+H40+H42+H44</f>
        <v>1.25</v>
      </c>
      <c r="I47" s="370">
        <f t="shared" ref="I47:S47" si="176">I36+I38+I40+I42+I44</f>
        <v>1.25</v>
      </c>
      <c r="J47" s="370">
        <f t="shared" si="176"/>
        <v>1.25</v>
      </c>
      <c r="K47" s="370">
        <f t="shared" si="176"/>
        <v>1.25</v>
      </c>
      <c r="L47" s="370">
        <f t="shared" si="176"/>
        <v>1.25</v>
      </c>
      <c r="M47" s="370">
        <f t="shared" si="176"/>
        <v>1.25</v>
      </c>
      <c r="N47" s="370">
        <f t="shared" si="176"/>
        <v>1.25</v>
      </c>
      <c r="O47" s="370">
        <f t="shared" si="176"/>
        <v>1.25</v>
      </c>
      <c r="P47" s="370">
        <f t="shared" si="176"/>
        <v>1.25</v>
      </c>
      <c r="Q47" s="370">
        <f t="shared" si="176"/>
        <v>1.25</v>
      </c>
      <c r="R47" s="370">
        <f t="shared" si="176"/>
        <v>1.25</v>
      </c>
      <c r="S47" s="370">
        <f t="shared" si="176"/>
        <v>1.25</v>
      </c>
      <c r="T47" s="308"/>
      <c r="U47" s="370">
        <f>U36+U38+U40+U42+U44</f>
        <v>1.5</v>
      </c>
      <c r="V47" s="370">
        <f t="shared" ref="V47:AF47" si="177">V36+V38+V40+V42+V44</f>
        <v>1.5</v>
      </c>
      <c r="W47" s="370">
        <f t="shared" si="177"/>
        <v>1.5</v>
      </c>
      <c r="X47" s="370">
        <f t="shared" si="177"/>
        <v>1.5</v>
      </c>
      <c r="Y47" s="370">
        <f t="shared" si="177"/>
        <v>1.5</v>
      </c>
      <c r="Z47" s="370">
        <f t="shared" si="177"/>
        <v>1.5</v>
      </c>
      <c r="AA47" s="370">
        <f t="shared" si="177"/>
        <v>1.5</v>
      </c>
      <c r="AB47" s="370">
        <f t="shared" si="177"/>
        <v>1.5</v>
      </c>
      <c r="AC47" s="370">
        <f t="shared" si="177"/>
        <v>1.5</v>
      </c>
      <c r="AD47" s="370">
        <f t="shared" si="177"/>
        <v>1.5</v>
      </c>
      <c r="AE47" s="370">
        <f t="shared" si="177"/>
        <v>1.5</v>
      </c>
      <c r="AF47" s="370">
        <f t="shared" si="177"/>
        <v>1.5</v>
      </c>
      <c r="AG47" s="308"/>
      <c r="AH47" s="370">
        <f>AH36+AH38+AH40+AH42+AH44</f>
        <v>1.75</v>
      </c>
      <c r="AI47" s="370">
        <f t="shared" ref="AI47:AS47" si="178">AI36+AI38+AI40+AI42+AI44</f>
        <v>1.75</v>
      </c>
      <c r="AJ47" s="370">
        <f t="shared" si="178"/>
        <v>1.75</v>
      </c>
      <c r="AK47" s="370">
        <f t="shared" si="178"/>
        <v>1.75</v>
      </c>
      <c r="AL47" s="370">
        <f t="shared" si="178"/>
        <v>1.75</v>
      </c>
      <c r="AM47" s="370">
        <f t="shared" si="178"/>
        <v>1.75</v>
      </c>
      <c r="AN47" s="370">
        <f t="shared" si="178"/>
        <v>1.75</v>
      </c>
      <c r="AO47" s="370">
        <f t="shared" si="178"/>
        <v>1.75</v>
      </c>
      <c r="AP47" s="370">
        <f t="shared" si="178"/>
        <v>1.75</v>
      </c>
      <c r="AQ47" s="370">
        <f t="shared" si="178"/>
        <v>1.75</v>
      </c>
      <c r="AR47" s="370">
        <f t="shared" si="178"/>
        <v>1.75</v>
      </c>
      <c r="AS47" s="370">
        <f t="shared" si="178"/>
        <v>1.75</v>
      </c>
      <c r="AT47" s="308"/>
      <c r="AU47" s="370">
        <f>AU36+AU38+AU40+AU42+AU44</f>
        <v>2</v>
      </c>
      <c r="AV47" s="370">
        <f t="shared" ref="AV47:BF47" si="179">AV36+AV38+AV40+AV42+AV44</f>
        <v>2</v>
      </c>
      <c r="AW47" s="370">
        <f t="shared" si="179"/>
        <v>2</v>
      </c>
      <c r="AX47" s="370">
        <f t="shared" si="179"/>
        <v>2</v>
      </c>
      <c r="AY47" s="370">
        <f t="shared" si="179"/>
        <v>2</v>
      </c>
      <c r="AZ47" s="370">
        <f t="shared" si="179"/>
        <v>2</v>
      </c>
      <c r="BA47" s="370">
        <f t="shared" si="179"/>
        <v>2</v>
      </c>
      <c r="BB47" s="370">
        <f t="shared" si="179"/>
        <v>2</v>
      </c>
      <c r="BC47" s="370">
        <f t="shared" si="179"/>
        <v>2</v>
      </c>
      <c r="BD47" s="370">
        <f t="shared" si="179"/>
        <v>2</v>
      </c>
      <c r="BE47" s="370">
        <f t="shared" si="179"/>
        <v>2</v>
      </c>
      <c r="BF47" s="370">
        <f t="shared" si="179"/>
        <v>2</v>
      </c>
      <c r="BG47" s="308"/>
      <c r="BH47" s="370">
        <f>BH36+BH38+BH40+BH42+BH44</f>
        <v>2</v>
      </c>
      <c r="BI47" s="370">
        <f t="shared" ref="BI47:BS47" si="180">BI36+BI38+BI40+BI42+BI44</f>
        <v>2</v>
      </c>
      <c r="BJ47" s="370">
        <f t="shared" si="180"/>
        <v>2</v>
      </c>
      <c r="BK47" s="370">
        <f t="shared" si="180"/>
        <v>2</v>
      </c>
      <c r="BL47" s="370">
        <f t="shared" si="180"/>
        <v>2</v>
      </c>
      <c r="BM47" s="370">
        <f t="shared" si="180"/>
        <v>2</v>
      </c>
      <c r="BN47" s="370">
        <f t="shared" si="180"/>
        <v>2</v>
      </c>
      <c r="BO47" s="370">
        <f t="shared" si="180"/>
        <v>2</v>
      </c>
      <c r="BP47" s="370">
        <f t="shared" si="180"/>
        <v>2</v>
      </c>
      <c r="BQ47" s="370">
        <f t="shared" si="180"/>
        <v>2</v>
      </c>
      <c r="BR47" s="370">
        <f t="shared" si="180"/>
        <v>2</v>
      </c>
      <c r="BS47" s="370">
        <f t="shared" si="180"/>
        <v>2</v>
      </c>
      <c r="BT47" s="308"/>
      <c r="BU47" s="308"/>
    </row>
    <row r="48" spans="1:73" ht="15.75" customHeight="1">
      <c r="B48" s="2" t="s">
        <v>277</v>
      </c>
      <c r="C48" s="2"/>
      <c r="D48" s="38"/>
      <c r="E48" s="2"/>
      <c r="F48" s="60"/>
      <c r="G48" s="6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</row>
    <row r="49" spans="1:73" ht="15.75" customHeight="1">
      <c r="B49" s="2"/>
      <c r="C49" s="147" t="s">
        <v>539</v>
      </c>
      <c r="D49" s="320">
        <f>12*40*52</f>
        <v>24960</v>
      </c>
      <c r="E49" s="3">
        <f>E$6*$D49</f>
        <v>6240</v>
      </c>
      <c r="F49" s="148">
        <f>SUM(D49:E49)</f>
        <v>31200</v>
      </c>
      <c r="G49" s="60"/>
      <c r="H49" s="3">
        <f t="shared" ref="H49:S49" si="181">ROUND(($F49/12)*H50,0)</f>
        <v>2600</v>
      </c>
      <c r="I49" s="3">
        <f t="shared" si="181"/>
        <v>2600</v>
      </c>
      <c r="J49" s="3">
        <f t="shared" si="181"/>
        <v>2600</v>
      </c>
      <c r="K49" s="3">
        <f t="shared" si="181"/>
        <v>2600</v>
      </c>
      <c r="L49" s="3">
        <f t="shared" si="181"/>
        <v>2600</v>
      </c>
      <c r="M49" s="3">
        <f t="shared" si="181"/>
        <v>2600</v>
      </c>
      <c r="N49" s="3">
        <f t="shared" si="181"/>
        <v>2600</v>
      </c>
      <c r="O49" s="3">
        <f t="shared" si="181"/>
        <v>2600</v>
      </c>
      <c r="P49" s="3">
        <f t="shared" si="181"/>
        <v>2600</v>
      </c>
      <c r="Q49" s="3">
        <f t="shared" si="181"/>
        <v>2600</v>
      </c>
      <c r="R49" s="3">
        <f t="shared" si="181"/>
        <v>2600</v>
      </c>
      <c r="S49" s="3">
        <f t="shared" si="181"/>
        <v>2600</v>
      </c>
      <c r="T49" s="3">
        <f>SUM(H49:S49)</f>
        <v>31200</v>
      </c>
      <c r="U49" s="3">
        <f t="shared" ref="U49:AF49" si="182">ROUND(($F49/12)*U50,0)</f>
        <v>2600</v>
      </c>
      <c r="V49" s="3">
        <f t="shared" si="182"/>
        <v>2600</v>
      </c>
      <c r="W49" s="3">
        <f t="shared" si="182"/>
        <v>2600</v>
      </c>
      <c r="X49" s="3">
        <f t="shared" si="182"/>
        <v>2600</v>
      </c>
      <c r="Y49" s="3">
        <f t="shared" si="182"/>
        <v>2600</v>
      </c>
      <c r="Z49" s="3">
        <f t="shared" si="182"/>
        <v>2600</v>
      </c>
      <c r="AA49" s="3">
        <f t="shared" si="182"/>
        <v>2600</v>
      </c>
      <c r="AB49" s="3">
        <f t="shared" si="182"/>
        <v>2600</v>
      </c>
      <c r="AC49" s="3">
        <f t="shared" si="182"/>
        <v>2600</v>
      </c>
      <c r="AD49" s="3">
        <f t="shared" si="182"/>
        <v>2600</v>
      </c>
      <c r="AE49" s="3">
        <f t="shared" si="182"/>
        <v>2600</v>
      </c>
      <c r="AF49" s="3">
        <f t="shared" si="182"/>
        <v>2600</v>
      </c>
      <c r="AG49" s="3">
        <f>SUM(U49:AF49)</f>
        <v>31200</v>
      </c>
      <c r="AH49" s="3">
        <f t="shared" ref="AH49:AS49" si="183">ROUND(($F49/12)*AH50,0)</f>
        <v>2600</v>
      </c>
      <c r="AI49" s="3">
        <f t="shared" si="183"/>
        <v>2600</v>
      </c>
      <c r="AJ49" s="3">
        <f t="shared" si="183"/>
        <v>2600</v>
      </c>
      <c r="AK49" s="3">
        <f t="shared" si="183"/>
        <v>2600</v>
      </c>
      <c r="AL49" s="3">
        <f t="shared" si="183"/>
        <v>2600</v>
      </c>
      <c r="AM49" s="3">
        <f t="shared" si="183"/>
        <v>2600</v>
      </c>
      <c r="AN49" s="3">
        <f t="shared" si="183"/>
        <v>2600</v>
      </c>
      <c r="AO49" s="3">
        <f t="shared" si="183"/>
        <v>2600</v>
      </c>
      <c r="AP49" s="3">
        <f t="shared" si="183"/>
        <v>2600</v>
      </c>
      <c r="AQ49" s="3">
        <f t="shared" si="183"/>
        <v>2600</v>
      </c>
      <c r="AR49" s="3">
        <f t="shared" si="183"/>
        <v>2600</v>
      </c>
      <c r="AS49" s="3">
        <f t="shared" si="183"/>
        <v>2600</v>
      </c>
      <c r="AT49" s="3">
        <f>SUM(AH49:AS49)</f>
        <v>31200</v>
      </c>
      <c r="AU49" s="3">
        <f t="shared" ref="AU49:BF49" si="184">ROUND(($F49/12)*AU50,0)</f>
        <v>2600</v>
      </c>
      <c r="AV49" s="3">
        <f t="shared" si="184"/>
        <v>2600</v>
      </c>
      <c r="AW49" s="3">
        <f t="shared" si="184"/>
        <v>2600</v>
      </c>
      <c r="AX49" s="3">
        <f t="shared" si="184"/>
        <v>2600</v>
      </c>
      <c r="AY49" s="3">
        <f t="shared" si="184"/>
        <v>2600</v>
      </c>
      <c r="AZ49" s="3">
        <f t="shared" si="184"/>
        <v>2600</v>
      </c>
      <c r="BA49" s="3">
        <f t="shared" si="184"/>
        <v>2600</v>
      </c>
      <c r="BB49" s="3">
        <f t="shared" si="184"/>
        <v>2600</v>
      </c>
      <c r="BC49" s="3">
        <f t="shared" si="184"/>
        <v>2600</v>
      </c>
      <c r="BD49" s="3">
        <f t="shared" si="184"/>
        <v>2600</v>
      </c>
      <c r="BE49" s="3">
        <f t="shared" si="184"/>
        <v>2600</v>
      </c>
      <c r="BF49" s="3">
        <f t="shared" si="184"/>
        <v>2600</v>
      </c>
      <c r="BG49" s="3">
        <f>SUM(AU49:BF49)</f>
        <v>31200</v>
      </c>
      <c r="BH49" s="3">
        <f t="shared" ref="BH49:BS49" si="185">ROUND(($F49/12)*BH50,0)</f>
        <v>2600</v>
      </c>
      <c r="BI49" s="3">
        <f t="shared" si="185"/>
        <v>2600</v>
      </c>
      <c r="BJ49" s="3">
        <f t="shared" si="185"/>
        <v>2600</v>
      </c>
      <c r="BK49" s="3">
        <f t="shared" si="185"/>
        <v>2600</v>
      </c>
      <c r="BL49" s="3">
        <f t="shared" si="185"/>
        <v>2600</v>
      </c>
      <c r="BM49" s="3">
        <f t="shared" si="185"/>
        <v>2600</v>
      </c>
      <c r="BN49" s="3">
        <f t="shared" si="185"/>
        <v>2600</v>
      </c>
      <c r="BO49" s="3">
        <f t="shared" si="185"/>
        <v>2600</v>
      </c>
      <c r="BP49" s="3">
        <f t="shared" si="185"/>
        <v>2600</v>
      </c>
      <c r="BQ49" s="3">
        <f t="shared" si="185"/>
        <v>2600</v>
      </c>
      <c r="BR49" s="3">
        <f t="shared" si="185"/>
        <v>2600</v>
      </c>
      <c r="BS49" s="3">
        <f t="shared" si="185"/>
        <v>2600</v>
      </c>
      <c r="BT49" s="3">
        <f>SUM(BH49:BS49)</f>
        <v>31200</v>
      </c>
      <c r="BU49" s="3">
        <f>T49+AG49+AT49+BG49+BT49</f>
        <v>156000</v>
      </c>
    </row>
    <row r="50" spans="1:73" ht="15.75" customHeight="1">
      <c r="A50" s="2"/>
      <c r="B50" s="2"/>
      <c r="C50" s="2"/>
      <c r="D50" s="38"/>
      <c r="E50" s="2"/>
      <c r="F50" s="149"/>
      <c r="G50" s="60"/>
      <c r="H50" s="319">
        <v>1</v>
      </c>
      <c r="I50" s="60">
        <f t="shared" ref="I50:S50" si="186">H50</f>
        <v>1</v>
      </c>
      <c r="J50" s="60">
        <f t="shared" si="186"/>
        <v>1</v>
      </c>
      <c r="K50" s="60">
        <f t="shared" si="186"/>
        <v>1</v>
      </c>
      <c r="L50" s="60">
        <f t="shared" si="186"/>
        <v>1</v>
      </c>
      <c r="M50" s="60">
        <f t="shared" si="186"/>
        <v>1</v>
      </c>
      <c r="N50" s="60">
        <f t="shared" si="186"/>
        <v>1</v>
      </c>
      <c r="O50" s="60">
        <f t="shared" si="186"/>
        <v>1</v>
      </c>
      <c r="P50" s="60">
        <f t="shared" si="186"/>
        <v>1</v>
      </c>
      <c r="Q50" s="60">
        <f t="shared" si="186"/>
        <v>1</v>
      </c>
      <c r="R50" s="60">
        <f t="shared" si="186"/>
        <v>1</v>
      </c>
      <c r="S50" s="60">
        <f t="shared" si="186"/>
        <v>1</v>
      </c>
      <c r="T50" s="60"/>
      <c r="U50" s="319">
        <v>1</v>
      </c>
      <c r="V50" s="60">
        <f t="shared" ref="V50:AF50" si="187">U50</f>
        <v>1</v>
      </c>
      <c r="W50" s="60">
        <f t="shared" si="187"/>
        <v>1</v>
      </c>
      <c r="X50" s="60">
        <f t="shared" si="187"/>
        <v>1</v>
      </c>
      <c r="Y50" s="60">
        <f t="shared" si="187"/>
        <v>1</v>
      </c>
      <c r="Z50" s="60">
        <f t="shared" si="187"/>
        <v>1</v>
      </c>
      <c r="AA50" s="60">
        <f t="shared" si="187"/>
        <v>1</v>
      </c>
      <c r="AB50" s="60">
        <f t="shared" si="187"/>
        <v>1</v>
      </c>
      <c r="AC50" s="60">
        <f t="shared" si="187"/>
        <v>1</v>
      </c>
      <c r="AD50" s="60">
        <f t="shared" si="187"/>
        <v>1</v>
      </c>
      <c r="AE50" s="60">
        <f t="shared" si="187"/>
        <v>1</v>
      </c>
      <c r="AF50" s="60">
        <f t="shared" si="187"/>
        <v>1</v>
      </c>
      <c r="AG50" s="60"/>
      <c r="AH50" s="319">
        <v>1</v>
      </c>
      <c r="AI50" s="60">
        <f t="shared" ref="AI50:AS50" si="188">AH50</f>
        <v>1</v>
      </c>
      <c r="AJ50" s="60">
        <f t="shared" si="188"/>
        <v>1</v>
      </c>
      <c r="AK50" s="60">
        <f t="shared" si="188"/>
        <v>1</v>
      </c>
      <c r="AL50" s="60">
        <f t="shared" si="188"/>
        <v>1</v>
      </c>
      <c r="AM50" s="60">
        <f t="shared" si="188"/>
        <v>1</v>
      </c>
      <c r="AN50" s="60">
        <f t="shared" si="188"/>
        <v>1</v>
      </c>
      <c r="AO50" s="60">
        <f t="shared" si="188"/>
        <v>1</v>
      </c>
      <c r="AP50" s="60">
        <f t="shared" si="188"/>
        <v>1</v>
      </c>
      <c r="AQ50" s="60">
        <f t="shared" si="188"/>
        <v>1</v>
      </c>
      <c r="AR50" s="60">
        <f t="shared" si="188"/>
        <v>1</v>
      </c>
      <c r="AS50" s="60">
        <f t="shared" si="188"/>
        <v>1</v>
      </c>
      <c r="AT50" s="60"/>
      <c r="AU50" s="319">
        <v>1</v>
      </c>
      <c r="AV50" s="60">
        <f t="shared" ref="AV50:BF50" si="189">AU50</f>
        <v>1</v>
      </c>
      <c r="AW50" s="60">
        <f t="shared" si="189"/>
        <v>1</v>
      </c>
      <c r="AX50" s="60">
        <f t="shared" si="189"/>
        <v>1</v>
      </c>
      <c r="AY50" s="60">
        <f t="shared" si="189"/>
        <v>1</v>
      </c>
      <c r="AZ50" s="60">
        <f t="shared" si="189"/>
        <v>1</v>
      </c>
      <c r="BA50" s="60">
        <f t="shared" si="189"/>
        <v>1</v>
      </c>
      <c r="BB50" s="60">
        <f t="shared" si="189"/>
        <v>1</v>
      </c>
      <c r="BC50" s="60">
        <f t="shared" si="189"/>
        <v>1</v>
      </c>
      <c r="BD50" s="60">
        <f t="shared" si="189"/>
        <v>1</v>
      </c>
      <c r="BE50" s="60">
        <f t="shared" si="189"/>
        <v>1</v>
      </c>
      <c r="BF50" s="60">
        <f t="shared" si="189"/>
        <v>1</v>
      </c>
      <c r="BG50" s="60"/>
      <c r="BH50" s="319">
        <v>1</v>
      </c>
      <c r="BI50" s="60">
        <f t="shared" ref="BI50:BS50" si="190">BH50</f>
        <v>1</v>
      </c>
      <c r="BJ50" s="60">
        <f t="shared" si="190"/>
        <v>1</v>
      </c>
      <c r="BK50" s="60">
        <f t="shared" si="190"/>
        <v>1</v>
      </c>
      <c r="BL50" s="60">
        <f t="shared" si="190"/>
        <v>1</v>
      </c>
      <c r="BM50" s="60">
        <f t="shared" si="190"/>
        <v>1</v>
      </c>
      <c r="BN50" s="60">
        <f t="shared" si="190"/>
        <v>1</v>
      </c>
      <c r="BO50" s="60">
        <f t="shared" si="190"/>
        <v>1</v>
      </c>
      <c r="BP50" s="60">
        <f t="shared" si="190"/>
        <v>1</v>
      </c>
      <c r="BQ50" s="60">
        <f t="shared" si="190"/>
        <v>1</v>
      </c>
      <c r="BR50" s="60">
        <f t="shared" si="190"/>
        <v>1</v>
      </c>
      <c r="BS50" s="60">
        <f t="shared" si="190"/>
        <v>1</v>
      </c>
      <c r="BT50" s="60"/>
      <c r="BU50" s="60"/>
    </row>
    <row r="51" spans="1:73" ht="15.75" customHeight="1">
      <c r="B51" s="2"/>
      <c r="C51" s="147" t="s">
        <v>278</v>
      </c>
      <c r="D51" s="320">
        <f>5.58*40*52</f>
        <v>11606.4</v>
      </c>
      <c r="E51" s="3">
        <v>5000</v>
      </c>
      <c r="F51" s="148">
        <f>SUM(D51:E51)</f>
        <v>16606.400000000001</v>
      </c>
      <c r="G51" s="60"/>
      <c r="H51" s="3">
        <f t="shared" ref="H51:S51" si="191">ROUND(($F51/12)*H52,0)</f>
        <v>692</v>
      </c>
      <c r="I51" s="3">
        <f t="shared" si="191"/>
        <v>692</v>
      </c>
      <c r="J51" s="3">
        <f t="shared" si="191"/>
        <v>692</v>
      </c>
      <c r="K51" s="3">
        <f t="shared" si="191"/>
        <v>692</v>
      </c>
      <c r="L51" s="3">
        <f t="shared" si="191"/>
        <v>692</v>
      </c>
      <c r="M51" s="3">
        <f t="shared" si="191"/>
        <v>692</v>
      </c>
      <c r="N51" s="3">
        <f t="shared" si="191"/>
        <v>692</v>
      </c>
      <c r="O51" s="3">
        <f t="shared" si="191"/>
        <v>692</v>
      </c>
      <c r="P51" s="3">
        <f t="shared" si="191"/>
        <v>692</v>
      </c>
      <c r="Q51" s="3">
        <f t="shared" si="191"/>
        <v>692</v>
      </c>
      <c r="R51" s="3">
        <f t="shared" si="191"/>
        <v>692</v>
      </c>
      <c r="S51" s="3">
        <f t="shared" si="191"/>
        <v>692</v>
      </c>
      <c r="T51" s="3">
        <f>SUM(H51:S51)</f>
        <v>8304</v>
      </c>
      <c r="U51" s="3">
        <f t="shared" ref="U51:AF51" si="192">ROUND(($F51/12)*U52,0)</f>
        <v>1038</v>
      </c>
      <c r="V51" s="3">
        <f t="shared" si="192"/>
        <v>1038</v>
      </c>
      <c r="W51" s="3">
        <f t="shared" si="192"/>
        <v>1038</v>
      </c>
      <c r="X51" s="3">
        <f t="shared" si="192"/>
        <v>1038</v>
      </c>
      <c r="Y51" s="3">
        <f t="shared" si="192"/>
        <v>1038</v>
      </c>
      <c r="Z51" s="3">
        <f t="shared" si="192"/>
        <v>1038</v>
      </c>
      <c r="AA51" s="3">
        <f t="shared" si="192"/>
        <v>1038</v>
      </c>
      <c r="AB51" s="3">
        <f t="shared" si="192"/>
        <v>1038</v>
      </c>
      <c r="AC51" s="3">
        <f t="shared" si="192"/>
        <v>1038</v>
      </c>
      <c r="AD51" s="3">
        <f t="shared" si="192"/>
        <v>1038</v>
      </c>
      <c r="AE51" s="3">
        <f t="shared" si="192"/>
        <v>1038</v>
      </c>
      <c r="AF51" s="3">
        <f t="shared" si="192"/>
        <v>1038</v>
      </c>
      <c r="AG51" s="3">
        <f>SUM(U51:AF51)</f>
        <v>12456</v>
      </c>
      <c r="AH51" s="3">
        <f t="shared" ref="AH51:AS51" si="193">ROUND(($F51/12)*AH52,0)</f>
        <v>1384</v>
      </c>
      <c r="AI51" s="3">
        <f t="shared" si="193"/>
        <v>1384</v>
      </c>
      <c r="AJ51" s="3">
        <f t="shared" si="193"/>
        <v>1384</v>
      </c>
      <c r="AK51" s="3">
        <f t="shared" si="193"/>
        <v>1384</v>
      </c>
      <c r="AL51" s="3">
        <f t="shared" si="193"/>
        <v>1384</v>
      </c>
      <c r="AM51" s="3">
        <f t="shared" si="193"/>
        <v>1384</v>
      </c>
      <c r="AN51" s="3">
        <f t="shared" si="193"/>
        <v>1384</v>
      </c>
      <c r="AO51" s="3">
        <f t="shared" si="193"/>
        <v>1384</v>
      </c>
      <c r="AP51" s="3">
        <f t="shared" si="193"/>
        <v>1384</v>
      </c>
      <c r="AQ51" s="3">
        <f t="shared" si="193"/>
        <v>1384</v>
      </c>
      <c r="AR51" s="3">
        <f t="shared" si="193"/>
        <v>1384</v>
      </c>
      <c r="AS51" s="3">
        <f t="shared" si="193"/>
        <v>1384</v>
      </c>
      <c r="AT51" s="3">
        <f>SUM(AH51:AS51)</f>
        <v>16608</v>
      </c>
      <c r="AU51" s="3">
        <f t="shared" ref="AU51:BF51" si="194">ROUND(($F51/12)*AU52,0)</f>
        <v>1384</v>
      </c>
      <c r="AV51" s="3">
        <f t="shared" si="194"/>
        <v>1384</v>
      </c>
      <c r="AW51" s="3">
        <f t="shared" si="194"/>
        <v>1384</v>
      </c>
      <c r="AX51" s="3">
        <f t="shared" si="194"/>
        <v>1384</v>
      </c>
      <c r="AY51" s="3">
        <f t="shared" si="194"/>
        <v>1384</v>
      </c>
      <c r="AZ51" s="3">
        <f t="shared" si="194"/>
        <v>1384</v>
      </c>
      <c r="BA51" s="3">
        <f t="shared" si="194"/>
        <v>1384</v>
      </c>
      <c r="BB51" s="3">
        <f t="shared" si="194"/>
        <v>1384</v>
      </c>
      <c r="BC51" s="3">
        <f t="shared" si="194"/>
        <v>1384</v>
      </c>
      <c r="BD51" s="3">
        <f t="shared" si="194"/>
        <v>1384</v>
      </c>
      <c r="BE51" s="3">
        <f t="shared" si="194"/>
        <v>1384</v>
      </c>
      <c r="BF51" s="3">
        <f t="shared" si="194"/>
        <v>1384</v>
      </c>
      <c r="BG51" s="3">
        <f>SUM(AU51:BF51)</f>
        <v>16608</v>
      </c>
      <c r="BH51" s="3">
        <f t="shared" ref="BH51:BS51" si="195">ROUND(($F51/12)*BH52,0)</f>
        <v>1384</v>
      </c>
      <c r="BI51" s="3">
        <f t="shared" si="195"/>
        <v>1384</v>
      </c>
      <c r="BJ51" s="3">
        <f t="shared" si="195"/>
        <v>1384</v>
      </c>
      <c r="BK51" s="3">
        <f t="shared" si="195"/>
        <v>1384</v>
      </c>
      <c r="BL51" s="3">
        <f t="shared" si="195"/>
        <v>1384</v>
      </c>
      <c r="BM51" s="3">
        <f t="shared" si="195"/>
        <v>1384</v>
      </c>
      <c r="BN51" s="3">
        <f t="shared" si="195"/>
        <v>1384</v>
      </c>
      <c r="BO51" s="3">
        <f t="shared" si="195"/>
        <v>1384</v>
      </c>
      <c r="BP51" s="3">
        <f t="shared" si="195"/>
        <v>1384</v>
      </c>
      <c r="BQ51" s="3">
        <f t="shared" si="195"/>
        <v>1384</v>
      </c>
      <c r="BR51" s="3">
        <f t="shared" si="195"/>
        <v>1384</v>
      </c>
      <c r="BS51" s="3">
        <f t="shared" si="195"/>
        <v>1384</v>
      </c>
      <c r="BT51" s="3">
        <f>SUM(BH51:BS51)</f>
        <v>16608</v>
      </c>
      <c r="BU51" s="3">
        <f>T51+AG51+AT51+BG51+BT51</f>
        <v>70584</v>
      </c>
    </row>
    <row r="52" spans="1:73" ht="15.75" customHeight="1">
      <c r="A52" s="2"/>
      <c r="B52" s="2"/>
      <c r="C52" s="2"/>
      <c r="D52" s="38"/>
      <c r="E52" s="254"/>
      <c r="F52" s="60"/>
      <c r="G52" s="60"/>
      <c r="H52" s="319">
        <v>0.5</v>
      </c>
      <c r="I52" s="60">
        <f t="shared" ref="I52:S52" si="196">H52</f>
        <v>0.5</v>
      </c>
      <c r="J52" s="60">
        <f t="shared" si="196"/>
        <v>0.5</v>
      </c>
      <c r="K52" s="60">
        <f t="shared" si="196"/>
        <v>0.5</v>
      </c>
      <c r="L52" s="60">
        <f t="shared" si="196"/>
        <v>0.5</v>
      </c>
      <c r="M52" s="60">
        <f t="shared" si="196"/>
        <v>0.5</v>
      </c>
      <c r="N52" s="60">
        <f t="shared" si="196"/>
        <v>0.5</v>
      </c>
      <c r="O52" s="60">
        <f t="shared" si="196"/>
        <v>0.5</v>
      </c>
      <c r="P52" s="60">
        <f t="shared" si="196"/>
        <v>0.5</v>
      </c>
      <c r="Q52" s="60">
        <f t="shared" si="196"/>
        <v>0.5</v>
      </c>
      <c r="R52" s="60">
        <f t="shared" si="196"/>
        <v>0.5</v>
      </c>
      <c r="S52" s="60">
        <f t="shared" si="196"/>
        <v>0.5</v>
      </c>
      <c r="T52" s="60"/>
      <c r="U52" s="319">
        <v>0.75</v>
      </c>
      <c r="V52" s="60">
        <f t="shared" ref="V52:AF52" si="197">U52</f>
        <v>0.75</v>
      </c>
      <c r="W52" s="60">
        <f t="shared" si="197"/>
        <v>0.75</v>
      </c>
      <c r="X52" s="60">
        <f t="shared" si="197"/>
        <v>0.75</v>
      </c>
      <c r="Y52" s="60">
        <f t="shared" si="197"/>
        <v>0.75</v>
      </c>
      <c r="Z52" s="60">
        <f t="shared" si="197"/>
        <v>0.75</v>
      </c>
      <c r="AA52" s="60">
        <f t="shared" si="197"/>
        <v>0.75</v>
      </c>
      <c r="AB52" s="60">
        <f t="shared" si="197"/>
        <v>0.75</v>
      </c>
      <c r="AC52" s="60">
        <f t="shared" si="197"/>
        <v>0.75</v>
      </c>
      <c r="AD52" s="60">
        <f t="shared" si="197"/>
        <v>0.75</v>
      </c>
      <c r="AE52" s="60">
        <f t="shared" si="197"/>
        <v>0.75</v>
      </c>
      <c r="AF52" s="60">
        <f t="shared" si="197"/>
        <v>0.75</v>
      </c>
      <c r="AG52" s="60"/>
      <c r="AH52" s="319">
        <v>1</v>
      </c>
      <c r="AI52" s="60">
        <f t="shared" ref="AI52:AS52" si="198">AH52</f>
        <v>1</v>
      </c>
      <c r="AJ52" s="60">
        <f t="shared" si="198"/>
        <v>1</v>
      </c>
      <c r="AK52" s="60">
        <f t="shared" si="198"/>
        <v>1</v>
      </c>
      <c r="AL52" s="60">
        <f t="shared" si="198"/>
        <v>1</v>
      </c>
      <c r="AM52" s="60">
        <f t="shared" si="198"/>
        <v>1</v>
      </c>
      <c r="AN52" s="60">
        <f t="shared" si="198"/>
        <v>1</v>
      </c>
      <c r="AO52" s="60">
        <f t="shared" si="198"/>
        <v>1</v>
      </c>
      <c r="AP52" s="60">
        <f t="shared" si="198"/>
        <v>1</v>
      </c>
      <c r="AQ52" s="60">
        <f t="shared" si="198"/>
        <v>1</v>
      </c>
      <c r="AR52" s="60">
        <f t="shared" si="198"/>
        <v>1</v>
      </c>
      <c r="AS52" s="60">
        <f t="shared" si="198"/>
        <v>1</v>
      </c>
      <c r="AT52" s="60"/>
      <c r="AU52" s="319">
        <v>1</v>
      </c>
      <c r="AV52" s="60">
        <f t="shared" ref="AV52:BF52" si="199">AU52</f>
        <v>1</v>
      </c>
      <c r="AW52" s="60">
        <f t="shared" si="199"/>
        <v>1</v>
      </c>
      <c r="AX52" s="60">
        <f t="shared" si="199"/>
        <v>1</v>
      </c>
      <c r="AY52" s="60">
        <f t="shared" si="199"/>
        <v>1</v>
      </c>
      <c r="AZ52" s="60">
        <f t="shared" si="199"/>
        <v>1</v>
      </c>
      <c r="BA52" s="60">
        <f t="shared" si="199"/>
        <v>1</v>
      </c>
      <c r="BB52" s="60">
        <f t="shared" si="199"/>
        <v>1</v>
      </c>
      <c r="BC52" s="60">
        <f t="shared" si="199"/>
        <v>1</v>
      </c>
      <c r="BD52" s="60">
        <f t="shared" si="199"/>
        <v>1</v>
      </c>
      <c r="BE52" s="60">
        <f t="shared" si="199"/>
        <v>1</v>
      </c>
      <c r="BF52" s="60">
        <f t="shared" si="199"/>
        <v>1</v>
      </c>
      <c r="BG52" s="60"/>
      <c r="BH52" s="319">
        <v>1</v>
      </c>
      <c r="BI52" s="60">
        <f t="shared" ref="BI52:BS52" si="200">BH52</f>
        <v>1</v>
      </c>
      <c r="BJ52" s="60">
        <f t="shared" si="200"/>
        <v>1</v>
      </c>
      <c r="BK52" s="60">
        <f t="shared" si="200"/>
        <v>1</v>
      </c>
      <c r="BL52" s="60">
        <f t="shared" si="200"/>
        <v>1</v>
      </c>
      <c r="BM52" s="60">
        <f t="shared" si="200"/>
        <v>1</v>
      </c>
      <c r="BN52" s="60">
        <f t="shared" si="200"/>
        <v>1</v>
      </c>
      <c r="BO52" s="60">
        <f t="shared" si="200"/>
        <v>1</v>
      </c>
      <c r="BP52" s="60">
        <f t="shared" si="200"/>
        <v>1</v>
      </c>
      <c r="BQ52" s="60">
        <f t="shared" si="200"/>
        <v>1</v>
      </c>
      <c r="BR52" s="60">
        <f t="shared" si="200"/>
        <v>1</v>
      </c>
      <c r="BS52" s="60">
        <f t="shared" si="200"/>
        <v>1</v>
      </c>
      <c r="BT52" s="60"/>
      <c r="BU52" s="60"/>
    </row>
    <row r="53" spans="1:73" ht="15.75" customHeight="1">
      <c r="B53" s="2"/>
      <c r="C53" s="147" t="s">
        <v>278</v>
      </c>
      <c r="D53" s="320">
        <f>5.58*40*52</f>
        <v>11606.4</v>
      </c>
      <c r="E53" s="3">
        <v>5000</v>
      </c>
      <c r="F53" s="148">
        <f>SUM(D53:E53)</f>
        <v>16606.400000000001</v>
      </c>
      <c r="G53" s="60"/>
      <c r="H53" s="3">
        <f t="shared" ref="H53:S53" si="201">ROUND(($F53/12)*H54,0)</f>
        <v>0</v>
      </c>
      <c r="I53" s="3">
        <f t="shared" si="201"/>
        <v>0</v>
      </c>
      <c r="J53" s="3">
        <f t="shared" si="201"/>
        <v>0</v>
      </c>
      <c r="K53" s="3">
        <f t="shared" si="201"/>
        <v>0</v>
      </c>
      <c r="L53" s="3">
        <f t="shared" si="201"/>
        <v>0</v>
      </c>
      <c r="M53" s="3">
        <f t="shared" si="201"/>
        <v>0</v>
      </c>
      <c r="N53" s="3">
        <f t="shared" si="201"/>
        <v>0</v>
      </c>
      <c r="O53" s="3">
        <f t="shared" si="201"/>
        <v>0</v>
      </c>
      <c r="P53" s="3">
        <f t="shared" si="201"/>
        <v>0</v>
      </c>
      <c r="Q53" s="3">
        <f t="shared" si="201"/>
        <v>0</v>
      </c>
      <c r="R53" s="3">
        <f t="shared" si="201"/>
        <v>0</v>
      </c>
      <c r="S53" s="3">
        <f t="shared" si="201"/>
        <v>0</v>
      </c>
      <c r="T53" s="3">
        <f>SUM(H53:S53)</f>
        <v>0</v>
      </c>
      <c r="U53" s="3">
        <f t="shared" ref="U53:AF53" si="202">ROUND(($F53/12)*U54,0)</f>
        <v>0</v>
      </c>
      <c r="V53" s="3">
        <f t="shared" si="202"/>
        <v>0</v>
      </c>
      <c r="W53" s="3">
        <f t="shared" si="202"/>
        <v>0</v>
      </c>
      <c r="X53" s="3">
        <f t="shared" si="202"/>
        <v>0</v>
      </c>
      <c r="Y53" s="3">
        <f t="shared" si="202"/>
        <v>0</v>
      </c>
      <c r="Z53" s="3">
        <f t="shared" si="202"/>
        <v>0</v>
      </c>
      <c r="AA53" s="3">
        <f t="shared" si="202"/>
        <v>0</v>
      </c>
      <c r="AB53" s="3">
        <f t="shared" si="202"/>
        <v>0</v>
      </c>
      <c r="AC53" s="3">
        <f t="shared" si="202"/>
        <v>0</v>
      </c>
      <c r="AD53" s="3">
        <f t="shared" si="202"/>
        <v>0</v>
      </c>
      <c r="AE53" s="3">
        <f t="shared" si="202"/>
        <v>0</v>
      </c>
      <c r="AF53" s="3">
        <f t="shared" si="202"/>
        <v>0</v>
      </c>
      <c r="AG53" s="3">
        <f>SUM(U53:AF53)</f>
        <v>0</v>
      </c>
      <c r="AH53" s="3">
        <f t="shared" ref="AH53:AS53" si="203">ROUND(($F53/12)*AH54,0)</f>
        <v>0</v>
      </c>
      <c r="AI53" s="3">
        <f t="shared" si="203"/>
        <v>0</v>
      </c>
      <c r="AJ53" s="3">
        <f t="shared" si="203"/>
        <v>0</v>
      </c>
      <c r="AK53" s="3">
        <f t="shared" si="203"/>
        <v>0</v>
      </c>
      <c r="AL53" s="3">
        <f t="shared" si="203"/>
        <v>0</v>
      </c>
      <c r="AM53" s="3">
        <f t="shared" si="203"/>
        <v>0</v>
      </c>
      <c r="AN53" s="3">
        <f t="shared" si="203"/>
        <v>0</v>
      </c>
      <c r="AO53" s="3">
        <f t="shared" si="203"/>
        <v>0</v>
      </c>
      <c r="AP53" s="3">
        <f t="shared" si="203"/>
        <v>0</v>
      </c>
      <c r="AQ53" s="3">
        <f t="shared" si="203"/>
        <v>0</v>
      </c>
      <c r="AR53" s="3">
        <f t="shared" si="203"/>
        <v>0</v>
      </c>
      <c r="AS53" s="3">
        <f t="shared" si="203"/>
        <v>0</v>
      </c>
      <c r="AT53" s="3">
        <f>SUM(AH53:AS53)</f>
        <v>0</v>
      </c>
      <c r="AU53" s="3">
        <f t="shared" ref="AU53:BF53" si="204">ROUND(($F53/12)*AU54,0)</f>
        <v>346</v>
      </c>
      <c r="AV53" s="3">
        <f t="shared" si="204"/>
        <v>346</v>
      </c>
      <c r="AW53" s="3">
        <f t="shared" si="204"/>
        <v>346</v>
      </c>
      <c r="AX53" s="3">
        <f t="shared" si="204"/>
        <v>346</v>
      </c>
      <c r="AY53" s="3">
        <f t="shared" si="204"/>
        <v>346</v>
      </c>
      <c r="AZ53" s="3">
        <f t="shared" si="204"/>
        <v>346</v>
      </c>
      <c r="BA53" s="3">
        <f t="shared" si="204"/>
        <v>346</v>
      </c>
      <c r="BB53" s="3">
        <f t="shared" si="204"/>
        <v>346</v>
      </c>
      <c r="BC53" s="3">
        <f t="shared" si="204"/>
        <v>346</v>
      </c>
      <c r="BD53" s="3">
        <f t="shared" si="204"/>
        <v>346</v>
      </c>
      <c r="BE53" s="3">
        <f t="shared" si="204"/>
        <v>346</v>
      </c>
      <c r="BF53" s="3">
        <f t="shared" si="204"/>
        <v>346</v>
      </c>
      <c r="BG53" s="3">
        <f>SUM(AU53:BF53)</f>
        <v>4152</v>
      </c>
      <c r="BH53" s="3">
        <f t="shared" ref="BH53:BS53" si="205">ROUND(($F53/12)*BH54,0)</f>
        <v>692</v>
      </c>
      <c r="BI53" s="3">
        <f t="shared" si="205"/>
        <v>692</v>
      </c>
      <c r="BJ53" s="3">
        <f t="shared" si="205"/>
        <v>692</v>
      </c>
      <c r="BK53" s="3">
        <f t="shared" si="205"/>
        <v>692</v>
      </c>
      <c r="BL53" s="3">
        <f t="shared" si="205"/>
        <v>692</v>
      </c>
      <c r="BM53" s="3">
        <f t="shared" si="205"/>
        <v>692</v>
      </c>
      <c r="BN53" s="3">
        <f t="shared" si="205"/>
        <v>692</v>
      </c>
      <c r="BO53" s="3">
        <f t="shared" si="205"/>
        <v>692</v>
      </c>
      <c r="BP53" s="3">
        <f t="shared" si="205"/>
        <v>692</v>
      </c>
      <c r="BQ53" s="3">
        <f t="shared" si="205"/>
        <v>692</v>
      </c>
      <c r="BR53" s="3">
        <f t="shared" si="205"/>
        <v>692</v>
      </c>
      <c r="BS53" s="3">
        <f t="shared" si="205"/>
        <v>692</v>
      </c>
      <c r="BT53" s="3">
        <f>SUM(BH53:BS53)</f>
        <v>8304</v>
      </c>
      <c r="BU53" s="3">
        <f>T53+AG53+AT53+BG53+BT53</f>
        <v>12456</v>
      </c>
    </row>
    <row r="54" spans="1:73" ht="15.75" customHeight="1">
      <c r="A54" s="2"/>
      <c r="B54" s="2"/>
      <c r="C54" s="2"/>
      <c r="D54" s="38"/>
      <c r="E54" s="254"/>
      <c r="F54" s="60"/>
      <c r="G54" s="60"/>
      <c r="H54" s="319">
        <v>0</v>
      </c>
      <c r="I54" s="60">
        <f t="shared" ref="I54:S54" si="206">H54</f>
        <v>0</v>
      </c>
      <c r="J54" s="60">
        <f t="shared" si="206"/>
        <v>0</v>
      </c>
      <c r="K54" s="60">
        <f t="shared" si="206"/>
        <v>0</v>
      </c>
      <c r="L54" s="60">
        <f t="shared" si="206"/>
        <v>0</v>
      </c>
      <c r="M54" s="60">
        <f t="shared" si="206"/>
        <v>0</v>
      </c>
      <c r="N54" s="60">
        <f t="shared" si="206"/>
        <v>0</v>
      </c>
      <c r="O54" s="60">
        <f t="shared" si="206"/>
        <v>0</v>
      </c>
      <c r="P54" s="60">
        <f t="shared" si="206"/>
        <v>0</v>
      </c>
      <c r="Q54" s="60">
        <f t="shared" si="206"/>
        <v>0</v>
      </c>
      <c r="R54" s="60">
        <f t="shared" si="206"/>
        <v>0</v>
      </c>
      <c r="S54" s="60">
        <f t="shared" si="206"/>
        <v>0</v>
      </c>
      <c r="T54" s="60"/>
      <c r="U54" s="319">
        <f t="shared" ref="U54:AF54" si="207">T54</f>
        <v>0</v>
      </c>
      <c r="V54" s="60">
        <f t="shared" si="207"/>
        <v>0</v>
      </c>
      <c r="W54" s="60">
        <f t="shared" si="207"/>
        <v>0</v>
      </c>
      <c r="X54" s="60">
        <f t="shared" si="207"/>
        <v>0</v>
      </c>
      <c r="Y54" s="60">
        <f t="shared" si="207"/>
        <v>0</v>
      </c>
      <c r="Z54" s="60">
        <f t="shared" si="207"/>
        <v>0</v>
      </c>
      <c r="AA54" s="60">
        <f t="shared" si="207"/>
        <v>0</v>
      </c>
      <c r="AB54" s="60">
        <f t="shared" si="207"/>
        <v>0</v>
      </c>
      <c r="AC54" s="60">
        <f t="shared" si="207"/>
        <v>0</v>
      </c>
      <c r="AD54" s="60">
        <f t="shared" si="207"/>
        <v>0</v>
      </c>
      <c r="AE54" s="60">
        <f t="shared" si="207"/>
        <v>0</v>
      </c>
      <c r="AF54" s="60">
        <f t="shared" si="207"/>
        <v>0</v>
      </c>
      <c r="AG54" s="60"/>
      <c r="AH54" s="319">
        <f t="shared" ref="AH54:AS54" si="208">AG54</f>
        <v>0</v>
      </c>
      <c r="AI54" s="60">
        <f t="shared" si="208"/>
        <v>0</v>
      </c>
      <c r="AJ54" s="60">
        <f t="shared" si="208"/>
        <v>0</v>
      </c>
      <c r="AK54" s="60">
        <f t="shared" si="208"/>
        <v>0</v>
      </c>
      <c r="AL54" s="60">
        <f t="shared" si="208"/>
        <v>0</v>
      </c>
      <c r="AM54" s="60">
        <f t="shared" si="208"/>
        <v>0</v>
      </c>
      <c r="AN54" s="60">
        <f t="shared" si="208"/>
        <v>0</v>
      </c>
      <c r="AO54" s="60">
        <f t="shared" si="208"/>
        <v>0</v>
      </c>
      <c r="AP54" s="60">
        <f t="shared" si="208"/>
        <v>0</v>
      </c>
      <c r="AQ54" s="60">
        <f t="shared" si="208"/>
        <v>0</v>
      </c>
      <c r="AR54" s="60">
        <f t="shared" si="208"/>
        <v>0</v>
      </c>
      <c r="AS54" s="60">
        <f t="shared" si="208"/>
        <v>0</v>
      </c>
      <c r="AT54" s="60"/>
      <c r="AU54" s="319">
        <v>0.25</v>
      </c>
      <c r="AV54" s="60">
        <f t="shared" ref="AV54:BF54" si="209">AU54</f>
        <v>0.25</v>
      </c>
      <c r="AW54" s="60">
        <f t="shared" si="209"/>
        <v>0.25</v>
      </c>
      <c r="AX54" s="60">
        <f t="shared" si="209"/>
        <v>0.25</v>
      </c>
      <c r="AY54" s="60">
        <f t="shared" si="209"/>
        <v>0.25</v>
      </c>
      <c r="AZ54" s="60">
        <f t="shared" si="209"/>
        <v>0.25</v>
      </c>
      <c r="BA54" s="60">
        <f t="shared" si="209"/>
        <v>0.25</v>
      </c>
      <c r="BB54" s="60">
        <f t="shared" si="209"/>
        <v>0.25</v>
      </c>
      <c r="BC54" s="60">
        <f t="shared" si="209"/>
        <v>0.25</v>
      </c>
      <c r="BD54" s="60">
        <f t="shared" si="209"/>
        <v>0.25</v>
      </c>
      <c r="BE54" s="60">
        <f t="shared" si="209"/>
        <v>0.25</v>
      </c>
      <c r="BF54" s="60">
        <f t="shared" si="209"/>
        <v>0.25</v>
      </c>
      <c r="BG54" s="60"/>
      <c r="BH54" s="319">
        <v>0.5</v>
      </c>
      <c r="BI54" s="60">
        <f t="shared" ref="BI54:BS54" si="210">BH54</f>
        <v>0.5</v>
      </c>
      <c r="BJ54" s="60">
        <f t="shared" si="210"/>
        <v>0.5</v>
      </c>
      <c r="BK54" s="60">
        <f t="shared" si="210"/>
        <v>0.5</v>
      </c>
      <c r="BL54" s="60">
        <f t="shared" si="210"/>
        <v>0.5</v>
      </c>
      <c r="BM54" s="60">
        <f t="shared" si="210"/>
        <v>0.5</v>
      </c>
      <c r="BN54" s="60">
        <f t="shared" si="210"/>
        <v>0.5</v>
      </c>
      <c r="BO54" s="60">
        <f t="shared" si="210"/>
        <v>0.5</v>
      </c>
      <c r="BP54" s="60">
        <f t="shared" si="210"/>
        <v>0.5</v>
      </c>
      <c r="BQ54" s="60">
        <f t="shared" si="210"/>
        <v>0.5</v>
      </c>
      <c r="BR54" s="60">
        <f t="shared" si="210"/>
        <v>0.5</v>
      </c>
      <c r="BS54" s="60">
        <f t="shared" si="210"/>
        <v>0.5</v>
      </c>
      <c r="BT54" s="60"/>
      <c r="BU54" s="60"/>
    </row>
    <row r="55" spans="1:73" ht="15.75" customHeight="1">
      <c r="B55" s="2"/>
      <c r="C55" s="147" t="s">
        <v>540</v>
      </c>
      <c r="D55" s="320">
        <f>5.58*40*52</f>
        <v>11606.4</v>
      </c>
      <c r="E55" s="3">
        <v>5000</v>
      </c>
      <c r="F55" s="148">
        <f>SUM(D55:E55)</f>
        <v>16606.400000000001</v>
      </c>
      <c r="G55" s="60"/>
      <c r="H55" s="3">
        <f t="shared" ref="H55:S55" si="211">ROUND(($F55/12)*H56,0)</f>
        <v>1384</v>
      </c>
      <c r="I55" s="3">
        <f t="shared" si="211"/>
        <v>1384</v>
      </c>
      <c r="J55" s="3">
        <f t="shared" si="211"/>
        <v>1384</v>
      </c>
      <c r="K55" s="3">
        <f t="shared" si="211"/>
        <v>1384</v>
      </c>
      <c r="L55" s="3">
        <f t="shared" si="211"/>
        <v>1384</v>
      </c>
      <c r="M55" s="3">
        <f t="shared" si="211"/>
        <v>1384</v>
      </c>
      <c r="N55" s="3">
        <f t="shared" si="211"/>
        <v>1384</v>
      </c>
      <c r="O55" s="3">
        <f t="shared" si="211"/>
        <v>1384</v>
      </c>
      <c r="P55" s="3">
        <f t="shared" si="211"/>
        <v>1384</v>
      </c>
      <c r="Q55" s="3">
        <f t="shared" si="211"/>
        <v>1384</v>
      </c>
      <c r="R55" s="3">
        <f t="shared" si="211"/>
        <v>1384</v>
      </c>
      <c r="S55" s="3">
        <f t="shared" si="211"/>
        <v>1384</v>
      </c>
      <c r="T55" s="3">
        <f>SUM(H55:S55)</f>
        <v>16608</v>
      </c>
      <c r="U55" s="3">
        <f t="shared" ref="U55:AF55" si="212">ROUND(($F55/12)*U56,0)</f>
        <v>1384</v>
      </c>
      <c r="V55" s="3">
        <f t="shared" si="212"/>
        <v>1384</v>
      </c>
      <c r="W55" s="3">
        <f t="shared" si="212"/>
        <v>1384</v>
      </c>
      <c r="X55" s="3">
        <f t="shared" si="212"/>
        <v>1384</v>
      </c>
      <c r="Y55" s="3">
        <f t="shared" si="212"/>
        <v>1384</v>
      </c>
      <c r="Z55" s="3">
        <f t="shared" si="212"/>
        <v>1384</v>
      </c>
      <c r="AA55" s="3">
        <f t="shared" si="212"/>
        <v>1384</v>
      </c>
      <c r="AB55" s="3">
        <f t="shared" si="212"/>
        <v>1384</v>
      </c>
      <c r="AC55" s="3">
        <f t="shared" si="212"/>
        <v>1384</v>
      </c>
      <c r="AD55" s="3">
        <f t="shared" si="212"/>
        <v>1384</v>
      </c>
      <c r="AE55" s="3">
        <f t="shared" si="212"/>
        <v>1384</v>
      </c>
      <c r="AF55" s="3">
        <f t="shared" si="212"/>
        <v>1384</v>
      </c>
      <c r="AG55" s="3">
        <f>SUM(U55:AF55)</f>
        <v>16608</v>
      </c>
      <c r="AH55" s="3">
        <f t="shared" ref="AH55:AS55" si="213">ROUND(($F55/12)*AH56,0)</f>
        <v>1384</v>
      </c>
      <c r="AI55" s="3">
        <f t="shared" si="213"/>
        <v>1384</v>
      </c>
      <c r="AJ55" s="3">
        <f t="shared" si="213"/>
        <v>1384</v>
      </c>
      <c r="AK55" s="3">
        <f t="shared" si="213"/>
        <v>1384</v>
      </c>
      <c r="AL55" s="3">
        <f t="shared" si="213"/>
        <v>1384</v>
      </c>
      <c r="AM55" s="3">
        <f t="shared" si="213"/>
        <v>1384</v>
      </c>
      <c r="AN55" s="3">
        <f t="shared" si="213"/>
        <v>1384</v>
      </c>
      <c r="AO55" s="3">
        <f t="shared" si="213"/>
        <v>1384</v>
      </c>
      <c r="AP55" s="3">
        <f t="shared" si="213"/>
        <v>1384</v>
      </c>
      <c r="AQ55" s="3">
        <f t="shared" si="213"/>
        <v>1384</v>
      </c>
      <c r="AR55" s="3">
        <f t="shared" si="213"/>
        <v>1384</v>
      </c>
      <c r="AS55" s="3">
        <f t="shared" si="213"/>
        <v>1384</v>
      </c>
      <c r="AT55" s="3">
        <f>SUM(AH55:AS55)</f>
        <v>16608</v>
      </c>
      <c r="AU55" s="3">
        <f t="shared" ref="AU55:BF55" si="214">ROUND(($F55/12)*AU56,0)</f>
        <v>1384</v>
      </c>
      <c r="AV55" s="3">
        <f t="shared" si="214"/>
        <v>1384</v>
      </c>
      <c r="AW55" s="3">
        <f t="shared" si="214"/>
        <v>1384</v>
      </c>
      <c r="AX55" s="3">
        <f t="shared" si="214"/>
        <v>1384</v>
      </c>
      <c r="AY55" s="3">
        <f t="shared" si="214"/>
        <v>1384</v>
      </c>
      <c r="AZ55" s="3">
        <f t="shared" si="214"/>
        <v>1384</v>
      </c>
      <c r="BA55" s="3">
        <f t="shared" si="214"/>
        <v>1384</v>
      </c>
      <c r="BB55" s="3">
        <f t="shared" si="214"/>
        <v>1384</v>
      </c>
      <c r="BC55" s="3">
        <f t="shared" si="214"/>
        <v>1384</v>
      </c>
      <c r="BD55" s="3">
        <f t="shared" si="214"/>
        <v>1384</v>
      </c>
      <c r="BE55" s="3">
        <f t="shared" si="214"/>
        <v>1384</v>
      </c>
      <c r="BF55" s="3">
        <f t="shared" si="214"/>
        <v>1384</v>
      </c>
      <c r="BG55" s="3">
        <f>SUM(AU55:BF55)</f>
        <v>16608</v>
      </c>
      <c r="BH55" s="3">
        <f t="shared" ref="BH55:BS55" si="215">ROUND(($F55/12)*BH56,0)</f>
        <v>1384</v>
      </c>
      <c r="BI55" s="3">
        <f t="shared" si="215"/>
        <v>1384</v>
      </c>
      <c r="BJ55" s="3">
        <f t="shared" si="215"/>
        <v>1384</v>
      </c>
      <c r="BK55" s="3">
        <f t="shared" si="215"/>
        <v>1384</v>
      </c>
      <c r="BL55" s="3">
        <f t="shared" si="215"/>
        <v>1384</v>
      </c>
      <c r="BM55" s="3">
        <f t="shared" si="215"/>
        <v>1384</v>
      </c>
      <c r="BN55" s="3">
        <f t="shared" si="215"/>
        <v>1384</v>
      </c>
      <c r="BO55" s="3">
        <f t="shared" si="215"/>
        <v>1384</v>
      </c>
      <c r="BP55" s="3">
        <f t="shared" si="215"/>
        <v>1384</v>
      </c>
      <c r="BQ55" s="3">
        <f t="shared" si="215"/>
        <v>1384</v>
      </c>
      <c r="BR55" s="3">
        <f t="shared" si="215"/>
        <v>1384</v>
      </c>
      <c r="BS55" s="3">
        <f t="shared" si="215"/>
        <v>1384</v>
      </c>
      <c r="BT55" s="3">
        <f>SUM(BH55:BS55)</f>
        <v>16608</v>
      </c>
      <c r="BU55" s="3">
        <f>T55+AG55+AT55+BG55+BT55</f>
        <v>83040</v>
      </c>
    </row>
    <row r="56" spans="1:73" ht="15.75" customHeight="1">
      <c r="A56" s="2"/>
      <c r="B56" s="2"/>
      <c r="C56" s="2"/>
      <c r="D56" s="38"/>
      <c r="E56" s="254"/>
      <c r="F56" s="60"/>
      <c r="G56" s="60"/>
      <c r="H56" s="319">
        <v>1</v>
      </c>
      <c r="I56" s="60">
        <f t="shared" ref="I56:S56" si="216">H56</f>
        <v>1</v>
      </c>
      <c r="J56" s="60">
        <f t="shared" si="216"/>
        <v>1</v>
      </c>
      <c r="K56" s="60">
        <f t="shared" si="216"/>
        <v>1</v>
      </c>
      <c r="L56" s="60">
        <f t="shared" si="216"/>
        <v>1</v>
      </c>
      <c r="M56" s="60">
        <f t="shared" si="216"/>
        <v>1</v>
      </c>
      <c r="N56" s="60">
        <f t="shared" si="216"/>
        <v>1</v>
      </c>
      <c r="O56" s="60">
        <f t="shared" si="216"/>
        <v>1</v>
      </c>
      <c r="P56" s="60">
        <f t="shared" si="216"/>
        <v>1</v>
      </c>
      <c r="Q56" s="60">
        <f t="shared" si="216"/>
        <v>1</v>
      </c>
      <c r="R56" s="60">
        <f t="shared" si="216"/>
        <v>1</v>
      </c>
      <c r="S56" s="60">
        <f t="shared" si="216"/>
        <v>1</v>
      </c>
      <c r="T56" s="60"/>
      <c r="U56" s="319">
        <v>1</v>
      </c>
      <c r="V56" s="60">
        <f t="shared" ref="V56:AF56" si="217">U56</f>
        <v>1</v>
      </c>
      <c r="W56" s="60">
        <f t="shared" si="217"/>
        <v>1</v>
      </c>
      <c r="X56" s="60">
        <f t="shared" si="217"/>
        <v>1</v>
      </c>
      <c r="Y56" s="60">
        <f t="shared" si="217"/>
        <v>1</v>
      </c>
      <c r="Z56" s="60">
        <f t="shared" si="217"/>
        <v>1</v>
      </c>
      <c r="AA56" s="60">
        <f t="shared" si="217"/>
        <v>1</v>
      </c>
      <c r="AB56" s="60">
        <f t="shared" si="217"/>
        <v>1</v>
      </c>
      <c r="AC56" s="60">
        <f t="shared" si="217"/>
        <v>1</v>
      </c>
      <c r="AD56" s="60">
        <f t="shared" si="217"/>
        <v>1</v>
      </c>
      <c r="AE56" s="60">
        <f t="shared" si="217"/>
        <v>1</v>
      </c>
      <c r="AF56" s="60">
        <f t="shared" si="217"/>
        <v>1</v>
      </c>
      <c r="AG56" s="60"/>
      <c r="AH56" s="319">
        <v>1</v>
      </c>
      <c r="AI56" s="60">
        <f t="shared" ref="AI56:AS56" si="218">AH56</f>
        <v>1</v>
      </c>
      <c r="AJ56" s="60">
        <f t="shared" si="218"/>
        <v>1</v>
      </c>
      <c r="AK56" s="60">
        <f t="shared" si="218"/>
        <v>1</v>
      </c>
      <c r="AL56" s="60">
        <f t="shared" si="218"/>
        <v>1</v>
      </c>
      <c r="AM56" s="60">
        <f t="shared" si="218"/>
        <v>1</v>
      </c>
      <c r="AN56" s="60">
        <f t="shared" si="218"/>
        <v>1</v>
      </c>
      <c r="AO56" s="60">
        <f t="shared" si="218"/>
        <v>1</v>
      </c>
      <c r="AP56" s="60">
        <f t="shared" si="218"/>
        <v>1</v>
      </c>
      <c r="AQ56" s="60">
        <f t="shared" si="218"/>
        <v>1</v>
      </c>
      <c r="AR56" s="60">
        <f t="shared" si="218"/>
        <v>1</v>
      </c>
      <c r="AS56" s="60">
        <f t="shared" si="218"/>
        <v>1</v>
      </c>
      <c r="AT56" s="60"/>
      <c r="AU56" s="319">
        <v>1</v>
      </c>
      <c r="AV56" s="60">
        <f t="shared" ref="AV56:BF56" si="219">AU56</f>
        <v>1</v>
      </c>
      <c r="AW56" s="60">
        <f t="shared" si="219"/>
        <v>1</v>
      </c>
      <c r="AX56" s="60">
        <f t="shared" si="219"/>
        <v>1</v>
      </c>
      <c r="AY56" s="60">
        <f t="shared" si="219"/>
        <v>1</v>
      </c>
      <c r="AZ56" s="60">
        <f t="shared" si="219"/>
        <v>1</v>
      </c>
      <c r="BA56" s="60">
        <f t="shared" si="219"/>
        <v>1</v>
      </c>
      <c r="BB56" s="60">
        <f t="shared" si="219"/>
        <v>1</v>
      </c>
      <c r="BC56" s="60">
        <f t="shared" si="219"/>
        <v>1</v>
      </c>
      <c r="BD56" s="60">
        <f t="shared" si="219"/>
        <v>1</v>
      </c>
      <c r="BE56" s="60">
        <f t="shared" si="219"/>
        <v>1</v>
      </c>
      <c r="BF56" s="60">
        <f t="shared" si="219"/>
        <v>1</v>
      </c>
      <c r="BG56" s="60"/>
      <c r="BH56" s="319">
        <v>1</v>
      </c>
      <c r="BI56" s="60">
        <f t="shared" ref="BI56:BS56" si="220">BH56</f>
        <v>1</v>
      </c>
      <c r="BJ56" s="60">
        <f t="shared" si="220"/>
        <v>1</v>
      </c>
      <c r="BK56" s="60">
        <f t="shared" si="220"/>
        <v>1</v>
      </c>
      <c r="BL56" s="60">
        <f t="shared" si="220"/>
        <v>1</v>
      </c>
      <c r="BM56" s="60">
        <f t="shared" si="220"/>
        <v>1</v>
      </c>
      <c r="BN56" s="60">
        <f t="shared" si="220"/>
        <v>1</v>
      </c>
      <c r="BO56" s="60">
        <f t="shared" si="220"/>
        <v>1</v>
      </c>
      <c r="BP56" s="60">
        <f t="shared" si="220"/>
        <v>1</v>
      </c>
      <c r="BQ56" s="60">
        <f t="shared" si="220"/>
        <v>1</v>
      </c>
      <c r="BR56" s="60">
        <f t="shared" si="220"/>
        <v>1</v>
      </c>
      <c r="BS56" s="60">
        <f t="shared" si="220"/>
        <v>1</v>
      </c>
      <c r="BT56" s="60"/>
      <c r="BU56" s="60"/>
    </row>
    <row r="57" spans="1:73" ht="15.75" customHeight="1">
      <c r="B57" s="2"/>
      <c r="C57" s="147" t="s">
        <v>540</v>
      </c>
      <c r="D57" s="320">
        <f>5.58*40*52</f>
        <v>11606.4</v>
      </c>
      <c r="E57" s="3">
        <v>5000</v>
      </c>
      <c r="F57" s="148">
        <f>SUM(D57:E57)</f>
        <v>16606.400000000001</v>
      </c>
      <c r="G57" s="60"/>
      <c r="H57" s="3">
        <f t="shared" ref="H57:S57" si="221">ROUND(($F57/12)*H58,0)</f>
        <v>692</v>
      </c>
      <c r="I57" s="3">
        <f t="shared" si="221"/>
        <v>692</v>
      </c>
      <c r="J57" s="3">
        <f t="shared" si="221"/>
        <v>692</v>
      </c>
      <c r="K57" s="3">
        <f t="shared" si="221"/>
        <v>692</v>
      </c>
      <c r="L57" s="3">
        <f t="shared" si="221"/>
        <v>692</v>
      </c>
      <c r="M57" s="3">
        <f t="shared" si="221"/>
        <v>692</v>
      </c>
      <c r="N57" s="3">
        <f t="shared" si="221"/>
        <v>692</v>
      </c>
      <c r="O57" s="3">
        <f t="shared" si="221"/>
        <v>692</v>
      </c>
      <c r="P57" s="3">
        <f t="shared" si="221"/>
        <v>692</v>
      </c>
      <c r="Q57" s="3">
        <f t="shared" si="221"/>
        <v>692</v>
      </c>
      <c r="R57" s="3">
        <f t="shared" si="221"/>
        <v>692</v>
      </c>
      <c r="S57" s="3">
        <f t="shared" si="221"/>
        <v>692</v>
      </c>
      <c r="T57" s="3">
        <f>SUM(H57:S57)</f>
        <v>8304</v>
      </c>
      <c r="U57" s="3">
        <f t="shared" ref="U57:AF57" si="222">ROUND(($F57/12)*U58,0)</f>
        <v>1038</v>
      </c>
      <c r="V57" s="3">
        <f t="shared" si="222"/>
        <v>1038</v>
      </c>
      <c r="W57" s="3">
        <f t="shared" si="222"/>
        <v>1038</v>
      </c>
      <c r="X57" s="3">
        <f t="shared" si="222"/>
        <v>1038</v>
      </c>
      <c r="Y57" s="3">
        <f t="shared" si="222"/>
        <v>1038</v>
      </c>
      <c r="Z57" s="3">
        <f t="shared" si="222"/>
        <v>1038</v>
      </c>
      <c r="AA57" s="3">
        <f t="shared" si="222"/>
        <v>1038</v>
      </c>
      <c r="AB57" s="3">
        <f t="shared" si="222"/>
        <v>1038</v>
      </c>
      <c r="AC57" s="3">
        <f t="shared" si="222"/>
        <v>1038</v>
      </c>
      <c r="AD57" s="3">
        <f t="shared" si="222"/>
        <v>1038</v>
      </c>
      <c r="AE57" s="3">
        <f t="shared" si="222"/>
        <v>1038</v>
      </c>
      <c r="AF57" s="3">
        <f t="shared" si="222"/>
        <v>1038</v>
      </c>
      <c r="AG57" s="3">
        <f>SUM(U57:AF57)</f>
        <v>12456</v>
      </c>
      <c r="AH57" s="3">
        <f>ROUND(($F57/12)*AH58,0)</f>
        <v>1384</v>
      </c>
      <c r="AI57" s="3">
        <f t="shared" ref="AI57:AS57" si="223">ROUND(($F57/12)*AI58,0)</f>
        <v>1384</v>
      </c>
      <c r="AJ57" s="3">
        <f t="shared" si="223"/>
        <v>1384</v>
      </c>
      <c r="AK57" s="3">
        <f t="shared" si="223"/>
        <v>1384</v>
      </c>
      <c r="AL57" s="3">
        <f t="shared" si="223"/>
        <v>1384</v>
      </c>
      <c r="AM57" s="3">
        <f t="shared" si="223"/>
        <v>1384</v>
      </c>
      <c r="AN57" s="3">
        <f t="shared" si="223"/>
        <v>1384</v>
      </c>
      <c r="AO57" s="3">
        <f t="shared" si="223"/>
        <v>1384</v>
      </c>
      <c r="AP57" s="3">
        <f t="shared" si="223"/>
        <v>1384</v>
      </c>
      <c r="AQ57" s="3">
        <f t="shared" si="223"/>
        <v>1384</v>
      </c>
      <c r="AR57" s="3">
        <f t="shared" si="223"/>
        <v>1384</v>
      </c>
      <c r="AS57" s="3">
        <f t="shared" si="223"/>
        <v>1384</v>
      </c>
      <c r="AT57" s="3">
        <f>SUM(AH57:AS57)</f>
        <v>16608</v>
      </c>
      <c r="AU57" s="3">
        <f t="shared" ref="AU57:BF57" si="224">ROUND(($F57/12)*AU58,0)</f>
        <v>1384</v>
      </c>
      <c r="AV57" s="3">
        <f t="shared" si="224"/>
        <v>1384</v>
      </c>
      <c r="AW57" s="3">
        <f t="shared" si="224"/>
        <v>1384</v>
      </c>
      <c r="AX57" s="3">
        <f t="shared" si="224"/>
        <v>1384</v>
      </c>
      <c r="AY57" s="3">
        <f t="shared" si="224"/>
        <v>1384</v>
      </c>
      <c r="AZ57" s="3">
        <f t="shared" si="224"/>
        <v>1384</v>
      </c>
      <c r="BA57" s="3">
        <f t="shared" si="224"/>
        <v>1384</v>
      </c>
      <c r="BB57" s="3">
        <f t="shared" si="224"/>
        <v>1384</v>
      </c>
      <c r="BC57" s="3">
        <f t="shared" si="224"/>
        <v>1384</v>
      </c>
      <c r="BD57" s="3">
        <f t="shared" si="224"/>
        <v>1384</v>
      </c>
      <c r="BE57" s="3">
        <f t="shared" si="224"/>
        <v>1384</v>
      </c>
      <c r="BF57" s="3">
        <f t="shared" si="224"/>
        <v>1384</v>
      </c>
      <c r="BG57" s="3">
        <f>SUM(AU57:BF57)</f>
        <v>16608</v>
      </c>
      <c r="BH57" s="3">
        <f t="shared" ref="BH57:BS57" si="225">ROUND(($F57/12)*BH58,0)</f>
        <v>1384</v>
      </c>
      <c r="BI57" s="3">
        <f t="shared" si="225"/>
        <v>1384</v>
      </c>
      <c r="BJ57" s="3">
        <f t="shared" si="225"/>
        <v>1384</v>
      </c>
      <c r="BK57" s="3">
        <f t="shared" si="225"/>
        <v>1384</v>
      </c>
      <c r="BL57" s="3">
        <f t="shared" si="225"/>
        <v>1384</v>
      </c>
      <c r="BM57" s="3">
        <f t="shared" si="225"/>
        <v>1384</v>
      </c>
      <c r="BN57" s="3">
        <f t="shared" si="225"/>
        <v>1384</v>
      </c>
      <c r="BO57" s="3">
        <f t="shared" si="225"/>
        <v>1384</v>
      </c>
      <c r="BP57" s="3">
        <f t="shared" si="225"/>
        <v>1384</v>
      </c>
      <c r="BQ57" s="3">
        <f t="shared" si="225"/>
        <v>1384</v>
      </c>
      <c r="BR57" s="3">
        <f t="shared" si="225"/>
        <v>1384</v>
      </c>
      <c r="BS57" s="3">
        <f t="shared" si="225"/>
        <v>1384</v>
      </c>
      <c r="BT57" s="3">
        <f>SUM(BH57:BS57)</f>
        <v>16608</v>
      </c>
      <c r="BU57" s="3">
        <f>T57+AG57+AT57+BG57+BT57</f>
        <v>70584</v>
      </c>
    </row>
    <row r="58" spans="1:73" ht="15.75" customHeight="1">
      <c r="A58" s="2"/>
      <c r="B58" s="2"/>
      <c r="C58" s="2"/>
      <c r="D58" s="38"/>
      <c r="E58" s="2"/>
      <c r="F58" s="60"/>
      <c r="G58" s="60"/>
      <c r="H58" s="319">
        <v>0.5</v>
      </c>
      <c r="I58" s="60">
        <f t="shared" ref="I58:S58" si="226">H58</f>
        <v>0.5</v>
      </c>
      <c r="J58" s="60">
        <f t="shared" si="226"/>
        <v>0.5</v>
      </c>
      <c r="K58" s="60">
        <f t="shared" si="226"/>
        <v>0.5</v>
      </c>
      <c r="L58" s="60">
        <f t="shared" si="226"/>
        <v>0.5</v>
      </c>
      <c r="M58" s="60">
        <f t="shared" si="226"/>
        <v>0.5</v>
      </c>
      <c r="N58" s="60">
        <f t="shared" si="226"/>
        <v>0.5</v>
      </c>
      <c r="O58" s="60">
        <f t="shared" si="226"/>
        <v>0.5</v>
      </c>
      <c r="P58" s="60">
        <f t="shared" si="226"/>
        <v>0.5</v>
      </c>
      <c r="Q58" s="60">
        <f t="shared" si="226"/>
        <v>0.5</v>
      </c>
      <c r="R58" s="60">
        <f t="shared" si="226"/>
        <v>0.5</v>
      </c>
      <c r="S58" s="60">
        <f t="shared" si="226"/>
        <v>0.5</v>
      </c>
      <c r="T58" s="60"/>
      <c r="U58" s="319">
        <v>0.75</v>
      </c>
      <c r="V58" s="60">
        <f t="shared" ref="V58:AF58" si="227">U58</f>
        <v>0.75</v>
      </c>
      <c r="W58" s="60">
        <f t="shared" si="227"/>
        <v>0.75</v>
      </c>
      <c r="X58" s="60">
        <f t="shared" si="227"/>
        <v>0.75</v>
      </c>
      <c r="Y58" s="60">
        <f t="shared" si="227"/>
        <v>0.75</v>
      </c>
      <c r="Z58" s="60">
        <f t="shared" si="227"/>
        <v>0.75</v>
      </c>
      <c r="AA58" s="60">
        <f t="shared" si="227"/>
        <v>0.75</v>
      </c>
      <c r="AB58" s="60">
        <f t="shared" si="227"/>
        <v>0.75</v>
      </c>
      <c r="AC58" s="60">
        <f t="shared" si="227"/>
        <v>0.75</v>
      </c>
      <c r="AD58" s="60">
        <f t="shared" si="227"/>
        <v>0.75</v>
      </c>
      <c r="AE58" s="60">
        <f t="shared" si="227"/>
        <v>0.75</v>
      </c>
      <c r="AF58" s="60">
        <f t="shared" si="227"/>
        <v>0.75</v>
      </c>
      <c r="AG58" s="60"/>
      <c r="AH58" s="319">
        <v>1</v>
      </c>
      <c r="AI58" s="60">
        <f t="shared" ref="AI58:AS58" si="228">AH58</f>
        <v>1</v>
      </c>
      <c r="AJ58" s="60">
        <f t="shared" si="228"/>
        <v>1</v>
      </c>
      <c r="AK58" s="60">
        <f t="shared" si="228"/>
        <v>1</v>
      </c>
      <c r="AL58" s="60">
        <f t="shared" si="228"/>
        <v>1</v>
      </c>
      <c r="AM58" s="60">
        <f t="shared" si="228"/>
        <v>1</v>
      </c>
      <c r="AN58" s="60">
        <f t="shared" si="228"/>
        <v>1</v>
      </c>
      <c r="AO58" s="60">
        <f t="shared" si="228"/>
        <v>1</v>
      </c>
      <c r="AP58" s="60">
        <f t="shared" si="228"/>
        <v>1</v>
      </c>
      <c r="AQ58" s="60">
        <f t="shared" si="228"/>
        <v>1</v>
      </c>
      <c r="AR58" s="60">
        <f t="shared" si="228"/>
        <v>1</v>
      </c>
      <c r="AS58" s="60">
        <f t="shared" si="228"/>
        <v>1</v>
      </c>
      <c r="AT58" s="60"/>
      <c r="AU58" s="319">
        <v>1</v>
      </c>
      <c r="AV58" s="60">
        <f t="shared" ref="AV58:BF58" si="229">AU58</f>
        <v>1</v>
      </c>
      <c r="AW58" s="60">
        <f t="shared" si="229"/>
        <v>1</v>
      </c>
      <c r="AX58" s="60">
        <f t="shared" si="229"/>
        <v>1</v>
      </c>
      <c r="AY58" s="60">
        <f t="shared" si="229"/>
        <v>1</v>
      </c>
      <c r="AZ58" s="60">
        <f t="shared" si="229"/>
        <v>1</v>
      </c>
      <c r="BA58" s="60">
        <f t="shared" si="229"/>
        <v>1</v>
      </c>
      <c r="BB58" s="60">
        <f t="shared" si="229"/>
        <v>1</v>
      </c>
      <c r="BC58" s="60">
        <f t="shared" si="229"/>
        <v>1</v>
      </c>
      <c r="BD58" s="60">
        <f t="shared" si="229"/>
        <v>1</v>
      </c>
      <c r="BE58" s="60">
        <f t="shared" si="229"/>
        <v>1</v>
      </c>
      <c r="BF58" s="60">
        <f t="shared" si="229"/>
        <v>1</v>
      </c>
      <c r="BG58" s="60"/>
      <c r="BH58" s="319">
        <v>1</v>
      </c>
      <c r="BI58" s="60">
        <f t="shared" ref="BI58:BS58" si="230">BH58</f>
        <v>1</v>
      </c>
      <c r="BJ58" s="60">
        <f t="shared" si="230"/>
        <v>1</v>
      </c>
      <c r="BK58" s="60">
        <f t="shared" si="230"/>
        <v>1</v>
      </c>
      <c r="BL58" s="60">
        <f t="shared" si="230"/>
        <v>1</v>
      </c>
      <c r="BM58" s="60">
        <f t="shared" si="230"/>
        <v>1</v>
      </c>
      <c r="BN58" s="60">
        <f t="shared" si="230"/>
        <v>1</v>
      </c>
      <c r="BO58" s="60">
        <f t="shared" si="230"/>
        <v>1</v>
      </c>
      <c r="BP58" s="60">
        <f t="shared" si="230"/>
        <v>1</v>
      </c>
      <c r="BQ58" s="60">
        <f t="shared" si="230"/>
        <v>1</v>
      </c>
      <c r="BR58" s="60">
        <f t="shared" si="230"/>
        <v>1</v>
      </c>
      <c r="BS58" s="60">
        <f t="shared" si="230"/>
        <v>1</v>
      </c>
      <c r="BT58" s="60"/>
      <c r="BU58" s="60"/>
    </row>
    <row r="59" spans="1:73" ht="15.75" customHeight="1">
      <c r="B59" s="2"/>
      <c r="C59" s="48" t="str">
        <f>CONCATENATE("   Sub-total ",B48)</f>
        <v xml:space="preserve">   Sub-total Tasting room</v>
      </c>
      <c r="D59" s="38"/>
      <c r="E59" s="2"/>
      <c r="F59" s="60"/>
      <c r="G59" s="60"/>
      <c r="H59" s="18">
        <f t="shared" ref="H59:BT59" si="231">H49+H51+H53+H55+H57</f>
        <v>5368</v>
      </c>
      <c r="I59" s="18">
        <f t="shared" si="231"/>
        <v>5368</v>
      </c>
      <c r="J59" s="18">
        <f t="shared" si="231"/>
        <v>5368</v>
      </c>
      <c r="K59" s="18">
        <f t="shared" si="231"/>
        <v>5368</v>
      </c>
      <c r="L59" s="18">
        <f t="shared" si="231"/>
        <v>5368</v>
      </c>
      <c r="M59" s="18">
        <f t="shared" si="231"/>
        <v>5368</v>
      </c>
      <c r="N59" s="18">
        <f t="shared" si="231"/>
        <v>5368</v>
      </c>
      <c r="O59" s="18">
        <f t="shared" si="231"/>
        <v>5368</v>
      </c>
      <c r="P59" s="18">
        <f t="shared" si="231"/>
        <v>5368</v>
      </c>
      <c r="Q59" s="18">
        <f t="shared" si="231"/>
        <v>5368</v>
      </c>
      <c r="R59" s="18">
        <f t="shared" si="231"/>
        <v>5368</v>
      </c>
      <c r="S59" s="18">
        <f t="shared" si="231"/>
        <v>5368</v>
      </c>
      <c r="T59" s="18">
        <f t="shared" si="231"/>
        <v>64416</v>
      </c>
      <c r="U59" s="18">
        <f t="shared" si="231"/>
        <v>6060</v>
      </c>
      <c r="V59" s="18">
        <f t="shared" si="231"/>
        <v>6060</v>
      </c>
      <c r="W59" s="18">
        <f t="shared" si="231"/>
        <v>6060</v>
      </c>
      <c r="X59" s="18">
        <f t="shared" si="231"/>
        <v>6060</v>
      </c>
      <c r="Y59" s="18">
        <f t="shared" si="231"/>
        <v>6060</v>
      </c>
      <c r="Z59" s="18">
        <f t="shared" si="231"/>
        <v>6060</v>
      </c>
      <c r="AA59" s="18">
        <f t="shared" si="231"/>
        <v>6060</v>
      </c>
      <c r="AB59" s="18">
        <f t="shared" si="231"/>
        <v>6060</v>
      </c>
      <c r="AC59" s="18">
        <f t="shared" si="231"/>
        <v>6060</v>
      </c>
      <c r="AD59" s="18">
        <f t="shared" si="231"/>
        <v>6060</v>
      </c>
      <c r="AE59" s="18">
        <f t="shared" si="231"/>
        <v>6060</v>
      </c>
      <c r="AF59" s="18">
        <f t="shared" si="231"/>
        <v>6060</v>
      </c>
      <c r="AG59" s="18">
        <f t="shared" si="231"/>
        <v>72720</v>
      </c>
      <c r="AH59" s="18">
        <f t="shared" si="231"/>
        <v>6752</v>
      </c>
      <c r="AI59" s="18">
        <f t="shared" si="231"/>
        <v>6752</v>
      </c>
      <c r="AJ59" s="18">
        <f t="shared" si="231"/>
        <v>6752</v>
      </c>
      <c r="AK59" s="18">
        <f t="shared" si="231"/>
        <v>6752</v>
      </c>
      <c r="AL59" s="18">
        <f t="shared" si="231"/>
        <v>6752</v>
      </c>
      <c r="AM59" s="18">
        <f t="shared" si="231"/>
        <v>6752</v>
      </c>
      <c r="AN59" s="18">
        <f t="shared" si="231"/>
        <v>6752</v>
      </c>
      <c r="AO59" s="18">
        <f t="shared" si="231"/>
        <v>6752</v>
      </c>
      <c r="AP59" s="18">
        <f t="shared" si="231"/>
        <v>6752</v>
      </c>
      <c r="AQ59" s="18">
        <f t="shared" si="231"/>
        <v>6752</v>
      </c>
      <c r="AR59" s="18">
        <f t="shared" si="231"/>
        <v>6752</v>
      </c>
      <c r="AS59" s="18">
        <f t="shared" si="231"/>
        <v>6752</v>
      </c>
      <c r="AT59" s="18">
        <f t="shared" si="231"/>
        <v>81024</v>
      </c>
      <c r="AU59" s="18">
        <f t="shared" si="231"/>
        <v>7098</v>
      </c>
      <c r="AV59" s="18">
        <f t="shared" si="231"/>
        <v>7098</v>
      </c>
      <c r="AW59" s="18">
        <f t="shared" si="231"/>
        <v>7098</v>
      </c>
      <c r="AX59" s="18">
        <f t="shared" si="231"/>
        <v>7098</v>
      </c>
      <c r="AY59" s="18">
        <f t="shared" si="231"/>
        <v>7098</v>
      </c>
      <c r="AZ59" s="18">
        <f t="shared" si="231"/>
        <v>7098</v>
      </c>
      <c r="BA59" s="18">
        <f t="shared" si="231"/>
        <v>7098</v>
      </c>
      <c r="BB59" s="18">
        <f t="shared" si="231"/>
        <v>7098</v>
      </c>
      <c r="BC59" s="18">
        <f t="shared" si="231"/>
        <v>7098</v>
      </c>
      <c r="BD59" s="18">
        <f t="shared" si="231"/>
        <v>7098</v>
      </c>
      <c r="BE59" s="18">
        <f t="shared" si="231"/>
        <v>7098</v>
      </c>
      <c r="BF59" s="18">
        <f t="shared" si="231"/>
        <v>7098</v>
      </c>
      <c r="BG59" s="18">
        <f t="shared" si="231"/>
        <v>85176</v>
      </c>
      <c r="BH59" s="18">
        <f t="shared" si="231"/>
        <v>7444</v>
      </c>
      <c r="BI59" s="18">
        <f t="shared" si="231"/>
        <v>7444</v>
      </c>
      <c r="BJ59" s="18">
        <f t="shared" si="231"/>
        <v>7444</v>
      </c>
      <c r="BK59" s="18">
        <f t="shared" si="231"/>
        <v>7444</v>
      </c>
      <c r="BL59" s="18">
        <f t="shared" si="231"/>
        <v>7444</v>
      </c>
      <c r="BM59" s="18">
        <f t="shared" si="231"/>
        <v>7444</v>
      </c>
      <c r="BN59" s="18">
        <f t="shared" si="231"/>
        <v>7444</v>
      </c>
      <c r="BO59" s="18">
        <f t="shared" si="231"/>
        <v>7444</v>
      </c>
      <c r="BP59" s="18">
        <f t="shared" si="231"/>
        <v>7444</v>
      </c>
      <c r="BQ59" s="18">
        <f t="shared" si="231"/>
        <v>7444</v>
      </c>
      <c r="BR59" s="18">
        <f t="shared" si="231"/>
        <v>7444</v>
      </c>
      <c r="BS59" s="18">
        <f t="shared" si="231"/>
        <v>7444</v>
      </c>
      <c r="BT59" s="18">
        <f t="shared" si="231"/>
        <v>89328</v>
      </c>
      <c r="BU59" s="18">
        <f>SUM(BU49:BU58)</f>
        <v>392664</v>
      </c>
    </row>
    <row r="60" spans="1:73" ht="15.75" customHeight="1">
      <c r="B60" s="2"/>
      <c r="C60" s="257"/>
      <c r="D60" s="38"/>
      <c r="E60" s="2"/>
      <c r="F60" s="60"/>
      <c r="G60" s="60"/>
      <c r="H60" s="308"/>
      <c r="I60" s="308"/>
      <c r="J60" s="308"/>
      <c r="K60" s="308"/>
      <c r="L60" s="308"/>
      <c r="M60" s="308"/>
      <c r="N60" s="308"/>
      <c r="O60" s="308"/>
      <c r="P60" s="308"/>
      <c r="Q60" s="308"/>
      <c r="R60" s="308"/>
      <c r="S60" s="308"/>
      <c r="T60" s="308"/>
      <c r="U60" s="308"/>
      <c r="V60" s="308"/>
      <c r="W60" s="308"/>
      <c r="X60" s="308"/>
      <c r="Y60" s="308"/>
      <c r="Z60" s="308"/>
      <c r="AA60" s="308"/>
      <c r="AB60" s="308"/>
      <c r="AC60" s="308"/>
      <c r="AD60" s="308"/>
      <c r="AE60" s="308"/>
      <c r="AF60" s="308"/>
      <c r="AG60" s="308"/>
      <c r="AH60" s="308"/>
      <c r="AI60" s="308"/>
      <c r="AJ60" s="308"/>
      <c r="AK60" s="308"/>
      <c r="AL60" s="308"/>
      <c r="AM60" s="308"/>
      <c r="AN60" s="308"/>
      <c r="AO60" s="308"/>
      <c r="AP60" s="308"/>
      <c r="AQ60" s="308"/>
      <c r="AR60" s="308"/>
      <c r="AS60" s="308"/>
      <c r="AT60" s="308"/>
      <c r="AU60" s="308"/>
      <c r="AV60" s="308"/>
      <c r="AW60" s="308"/>
      <c r="AX60" s="308"/>
      <c r="AY60" s="308"/>
      <c r="AZ60" s="308"/>
      <c r="BA60" s="308"/>
      <c r="BB60" s="308"/>
      <c r="BC60" s="308"/>
      <c r="BD60" s="308"/>
      <c r="BE60" s="308"/>
      <c r="BF60" s="308"/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Q60" s="308"/>
      <c r="BR60" s="308"/>
      <c r="BS60" s="308"/>
      <c r="BT60" s="308"/>
      <c r="BU60" s="308"/>
    </row>
    <row r="61" spans="1:73" ht="15.75" customHeight="1">
      <c r="B61" s="2"/>
      <c r="C61" s="257"/>
      <c r="D61" s="38"/>
      <c r="E61" s="2"/>
      <c r="F61" s="60" t="s">
        <v>664</v>
      </c>
      <c r="G61" s="60"/>
      <c r="H61" s="370">
        <f>H50+H52+H54+H56+H58</f>
        <v>3</v>
      </c>
      <c r="I61" s="370">
        <f t="shared" ref="I61:S61" si="232">I50+I52+I54+I56+I58</f>
        <v>3</v>
      </c>
      <c r="J61" s="370">
        <f t="shared" si="232"/>
        <v>3</v>
      </c>
      <c r="K61" s="370">
        <f t="shared" si="232"/>
        <v>3</v>
      </c>
      <c r="L61" s="370">
        <f t="shared" si="232"/>
        <v>3</v>
      </c>
      <c r="M61" s="370">
        <f t="shared" si="232"/>
        <v>3</v>
      </c>
      <c r="N61" s="370">
        <f t="shared" si="232"/>
        <v>3</v>
      </c>
      <c r="O61" s="370">
        <f t="shared" si="232"/>
        <v>3</v>
      </c>
      <c r="P61" s="370">
        <f t="shared" si="232"/>
        <v>3</v>
      </c>
      <c r="Q61" s="370">
        <f t="shared" si="232"/>
        <v>3</v>
      </c>
      <c r="R61" s="370">
        <f t="shared" si="232"/>
        <v>3</v>
      </c>
      <c r="S61" s="370">
        <f t="shared" si="232"/>
        <v>3</v>
      </c>
      <c r="T61" s="308"/>
      <c r="U61" s="370">
        <f>U50+U52+U54+U56+U58</f>
        <v>3.5</v>
      </c>
      <c r="V61" s="370">
        <f t="shared" ref="V61:AF61" si="233">V50+V52+V54+V56+V58</f>
        <v>3.5</v>
      </c>
      <c r="W61" s="370">
        <f t="shared" si="233"/>
        <v>3.5</v>
      </c>
      <c r="X61" s="370">
        <f t="shared" si="233"/>
        <v>3.5</v>
      </c>
      <c r="Y61" s="370">
        <f t="shared" si="233"/>
        <v>3.5</v>
      </c>
      <c r="Z61" s="370">
        <f t="shared" si="233"/>
        <v>3.5</v>
      </c>
      <c r="AA61" s="370">
        <f t="shared" si="233"/>
        <v>3.5</v>
      </c>
      <c r="AB61" s="370">
        <f t="shared" si="233"/>
        <v>3.5</v>
      </c>
      <c r="AC61" s="370">
        <f t="shared" si="233"/>
        <v>3.5</v>
      </c>
      <c r="AD61" s="370">
        <f t="shared" si="233"/>
        <v>3.5</v>
      </c>
      <c r="AE61" s="370">
        <f t="shared" si="233"/>
        <v>3.5</v>
      </c>
      <c r="AF61" s="370">
        <f t="shared" si="233"/>
        <v>3.5</v>
      </c>
      <c r="AG61" s="308"/>
      <c r="AH61" s="370">
        <f>AH50+AH52+AH54+AH56+AH58</f>
        <v>4</v>
      </c>
      <c r="AI61" s="370">
        <f t="shared" ref="AI61:AS61" si="234">AI50+AI52+AI54+AI56+AI58</f>
        <v>4</v>
      </c>
      <c r="AJ61" s="370">
        <f t="shared" si="234"/>
        <v>4</v>
      </c>
      <c r="AK61" s="370">
        <f t="shared" si="234"/>
        <v>4</v>
      </c>
      <c r="AL61" s="370">
        <f t="shared" si="234"/>
        <v>4</v>
      </c>
      <c r="AM61" s="370">
        <f t="shared" si="234"/>
        <v>4</v>
      </c>
      <c r="AN61" s="370">
        <f t="shared" si="234"/>
        <v>4</v>
      </c>
      <c r="AO61" s="370">
        <f t="shared" si="234"/>
        <v>4</v>
      </c>
      <c r="AP61" s="370">
        <f t="shared" si="234"/>
        <v>4</v>
      </c>
      <c r="AQ61" s="370">
        <f t="shared" si="234"/>
        <v>4</v>
      </c>
      <c r="AR61" s="370">
        <f t="shared" si="234"/>
        <v>4</v>
      </c>
      <c r="AS61" s="370">
        <f t="shared" si="234"/>
        <v>4</v>
      </c>
      <c r="AT61" s="308"/>
      <c r="AU61" s="370">
        <f>AU50+AU52+AU54+AU56+AU58</f>
        <v>4.25</v>
      </c>
      <c r="AV61" s="370">
        <f t="shared" ref="AV61:BF61" si="235">AV50+AV52+AV54+AV56+AV58</f>
        <v>4.25</v>
      </c>
      <c r="AW61" s="370">
        <f t="shared" si="235"/>
        <v>4.25</v>
      </c>
      <c r="AX61" s="370">
        <f t="shared" si="235"/>
        <v>4.25</v>
      </c>
      <c r="AY61" s="370">
        <f t="shared" si="235"/>
        <v>4.25</v>
      </c>
      <c r="AZ61" s="370">
        <f t="shared" si="235"/>
        <v>4.25</v>
      </c>
      <c r="BA61" s="370">
        <f t="shared" si="235"/>
        <v>4.25</v>
      </c>
      <c r="BB61" s="370">
        <f t="shared" si="235"/>
        <v>4.25</v>
      </c>
      <c r="BC61" s="370">
        <f t="shared" si="235"/>
        <v>4.25</v>
      </c>
      <c r="BD61" s="370">
        <f t="shared" si="235"/>
        <v>4.25</v>
      </c>
      <c r="BE61" s="370">
        <f t="shared" si="235"/>
        <v>4.25</v>
      </c>
      <c r="BF61" s="370">
        <f t="shared" si="235"/>
        <v>4.25</v>
      </c>
      <c r="BG61" s="308"/>
      <c r="BH61" s="370">
        <f>BH50+BH52+BH54+BH56+BH58</f>
        <v>4.5</v>
      </c>
      <c r="BI61" s="370">
        <f t="shared" ref="BI61:BS61" si="236">BI50+BI52+BI54+BI56+BI58</f>
        <v>4.5</v>
      </c>
      <c r="BJ61" s="370">
        <f t="shared" si="236"/>
        <v>4.5</v>
      </c>
      <c r="BK61" s="370">
        <f t="shared" si="236"/>
        <v>4.5</v>
      </c>
      <c r="BL61" s="370">
        <f t="shared" si="236"/>
        <v>4.5</v>
      </c>
      <c r="BM61" s="370">
        <f t="shared" si="236"/>
        <v>4.5</v>
      </c>
      <c r="BN61" s="370">
        <f t="shared" si="236"/>
        <v>4.5</v>
      </c>
      <c r="BO61" s="370">
        <f t="shared" si="236"/>
        <v>4.5</v>
      </c>
      <c r="BP61" s="370">
        <f t="shared" si="236"/>
        <v>4.5</v>
      </c>
      <c r="BQ61" s="370">
        <f t="shared" si="236"/>
        <v>4.5</v>
      </c>
      <c r="BR61" s="370">
        <f t="shared" si="236"/>
        <v>4.5</v>
      </c>
      <c r="BS61" s="370">
        <f t="shared" si="236"/>
        <v>4.5</v>
      </c>
      <c r="BT61" s="308"/>
      <c r="BU61" s="308"/>
    </row>
    <row r="62" spans="1:73" ht="15.75" customHeight="1">
      <c r="B62" s="2"/>
      <c r="C62" s="2"/>
      <c r="D62" s="2"/>
      <c r="E62" s="2"/>
      <c r="F62" s="60"/>
      <c r="G62" s="6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</row>
    <row r="63" spans="1:73" ht="15.75" customHeight="1">
      <c r="A63" s="1"/>
      <c r="B63" s="1" t="s">
        <v>279</v>
      </c>
      <c r="C63" s="1"/>
      <c r="D63" s="1"/>
      <c r="E63" s="1"/>
      <c r="F63" s="150"/>
      <c r="G63" s="150"/>
      <c r="H63" s="44">
        <f t="shared" ref="H63:BU63" si="237">H17+H31+H45+H59</f>
        <v>23045</v>
      </c>
      <c r="I63" s="44">
        <f t="shared" si="237"/>
        <v>23045</v>
      </c>
      <c r="J63" s="44">
        <f t="shared" si="237"/>
        <v>23045</v>
      </c>
      <c r="K63" s="44">
        <f t="shared" si="237"/>
        <v>23045</v>
      </c>
      <c r="L63" s="44">
        <f t="shared" si="237"/>
        <v>23045</v>
      </c>
      <c r="M63" s="44">
        <f t="shared" si="237"/>
        <v>23045</v>
      </c>
      <c r="N63" s="44">
        <f t="shared" si="237"/>
        <v>23045</v>
      </c>
      <c r="O63" s="44">
        <f t="shared" si="237"/>
        <v>23045</v>
      </c>
      <c r="P63" s="44">
        <f t="shared" si="237"/>
        <v>23045</v>
      </c>
      <c r="Q63" s="44">
        <f t="shared" si="237"/>
        <v>23045</v>
      </c>
      <c r="R63" s="44">
        <f t="shared" si="237"/>
        <v>23045</v>
      </c>
      <c r="S63" s="44">
        <f t="shared" si="237"/>
        <v>23045</v>
      </c>
      <c r="T63" s="44">
        <f t="shared" si="237"/>
        <v>276540</v>
      </c>
      <c r="U63" s="44">
        <f t="shared" si="237"/>
        <v>27395</v>
      </c>
      <c r="V63" s="44">
        <f t="shared" si="237"/>
        <v>27395</v>
      </c>
      <c r="W63" s="44">
        <f t="shared" si="237"/>
        <v>27395</v>
      </c>
      <c r="X63" s="44">
        <f t="shared" si="237"/>
        <v>27395</v>
      </c>
      <c r="Y63" s="44">
        <f t="shared" si="237"/>
        <v>27395</v>
      </c>
      <c r="Z63" s="44">
        <f t="shared" si="237"/>
        <v>27395</v>
      </c>
      <c r="AA63" s="44">
        <f t="shared" si="237"/>
        <v>27395</v>
      </c>
      <c r="AB63" s="44">
        <f t="shared" si="237"/>
        <v>27395</v>
      </c>
      <c r="AC63" s="44">
        <f t="shared" si="237"/>
        <v>27395</v>
      </c>
      <c r="AD63" s="44">
        <f t="shared" si="237"/>
        <v>27395</v>
      </c>
      <c r="AE63" s="44">
        <f t="shared" si="237"/>
        <v>27395</v>
      </c>
      <c r="AF63" s="44">
        <f t="shared" si="237"/>
        <v>27395</v>
      </c>
      <c r="AG63" s="44">
        <f t="shared" si="237"/>
        <v>328740</v>
      </c>
      <c r="AH63" s="44">
        <f t="shared" si="237"/>
        <v>32552</v>
      </c>
      <c r="AI63" s="44">
        <f t="shared" si="237"/>
        <v>32552</v>
      </c>
      <c r="AJ63" s="44">
        <f t="shared" si="237"/>
        <v>32552</v>
      </c>
      <c r="AK63" s="44">
        <f t="shared" si="237"/>
        <v>32552</v>
      </c>
      <c r="AL63" s="44">
        <f t="shared" si="237"/>
        <v>32552</v>
      </c>
      <c r="AM63" s="44">
        <f t="shared" si="237"/>
        <v>32552</v>
      </c>
      <c r="AN63" s="44">
        <f t="shared" si="237"/>
        <v>32552</v>
      </c>
      <c r="AO63" s="44">
        <f t="shared" si="237"/>
        <v>32552</v>
      </c>
      <c r="AP63" s="44">
        <f t="shared" si="237"/>
        <v>32552</v>
      </c>
      <c r="AQ63" s="44">
        <f t="shared" si="237"/>
        <v>32552</v>
      </c>
      <c r="AR63" s="44">
        <f t="shared" si="237"/>
        <v>32552</v>
      </c>
      <c r="AS63" s="44">
        <f t="shared" si="237"/>
        <v>32552</v>
      </c>
      <c r="AT63" s="44">
        <f t="shared" si="237"/>
        <v>390624</v>
      </c>
      <c r="AU63" s="44">
        <f t="shared" si="237"/>
        <v>34654</v>
      </c>
      <c r="AV63" s="44">
        <f t="shared" si="237"/>
        <v>34654</v>
      </c>
      <c r="AW63" s="44">
        <f t="shared" si="237"/>
        <v>34654</v>
      </c>
      <c r="AX63" s="44">
        <f t="shared" si="237"/>
        <v>34654</v>
      </c>
      <c r="AY63" s="44">
        <f t="shared" si="237"/>
        <v>34654</v>
      </c>
      <c r="AZ63" s="44">
        <f t="shared" si="237"/>
        <v>34654</v>
      </c>
      <c r="BA63" s="44">
        <f t="shared" si="237"/>
        <v>34654</v>
      </c>
      <c r="BB63" s="44">
        <f t="shared" si="237"/>
        <v>34654</v>
      </c>
      <c r="BC63" s="44">
        <f t="shared" si="237"/>
        <v>34654</v>
      </c>
      <c r="BD63" s="44">
        <f t="shared" si="237"/>
        <v>34654</v>
      </c>
      <c r="BE63" s="44">
        <f t="shared" si="237"/>
        <v>34654</v>
      </c>
      <c r="BF63" s="44">
        <f t="shared" si="237"/>
        <v>34654</v>
      </c>
      <c r="BG63" s="44">
        <f t="shared" si="237"/>
        <v>415848</v>
      </c>
      <c r="BH63" s="44">
        <f t="shared" si="237"/>
        <v>38307</v>
      </c>
      <c r="BI63" s="44">
        <f t="shared" si="237"/>
        <v>38307</v>
      </c>
      <c r="BJ63" s="44">
        <f t="shared" si="237"/>
        <v>38307</v>
      </c>
      <c r="BK63" s="44">
        <f t="shared" si="237"/>
        <v>38307</v>
      </c>
      <c r="BL63" s="44">
        <f t="shared" si="237"/>
        <v>38307</v>
      </c>
      <c r="BM63" s="44">
        <f t="shared" si="237"/>
        <v>38307</v>
      </c>
      <c r="BN63" s="44">
        <f t="shared" si="237"/>
        <v>38307</v>
      </c>
      <c r="BO63" s="44">
        <f t="shared" si="237"/>
        <v>38307</v>
      </c>
      <c r="BP63" s="44">
        <f t="shared" si="237"/>
        <v>38307</v>
      </c>
      <c r="BQ63" s="44">
        <f t="shared" si="237"/>
        <v>38307</v>
      </c>
      <c r="BR63" s="44">
        <f t="shared" si="237"/>
        <v>38307</v>
      </c>
      <c r="BS63" s="44">
        <f t="shared" si="237"/>
        <v>38307</v>
      </c>
      <c r="BT63" s="44">
        <f t="shared" si="237"/>
        <v>459684</v>
      </c>
      <c r="BU63" s="44">
        <f t="shared" si="237"/>
        <v>1871436</v>
      </c>
    </row>
    <row r="64" spans="1:73" ht="15.75" customHeight="1">
      <c r="B64" s="2"/>
      <c r="C64" s="2"/>
      <c r="D64" s="2"/>
      <c r="E64" s="2"/>
      <c r="F64" s="60"/>
      <c r="G64" s="60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</row>
    <row r="65" spans="2:73" ht="15.75" customHeight="1">
      <c r="B65" s="2"/>
      <c r="C65" s="2"/>
      <c r="D65" s="2"/>
      <c r="E65" s="2"/>
      <c r="F65" s="60"/>
      <c r="G65" s="60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</row>
    <row r="66" spans="2:73" ht="15.75" customHeight="1">
      <c r="B66" s="1" t="s">
        <v>280</v>
      </c>
      <c r="C66" s="2"/>
      <c r="D66" s="2"/>
      <c r="E66" s="2"/>
      <c r="F66" s="60"/>
      <c r="G66" s="60"/>
      <c r="H66" s="77">
        <f t="shared" ref="H66:S66" si="238">H8+H10+H12+H14+H16+H22+H24+H26+H28+H30+H36+H38+H40+H42+H44+H50+H52+H54+H56+H58</f>
        <v>6.5</v>
      </c>
      <c r="I66" s="77">
        <f t="shared" si="238"/>
        <v>6.5</v>
      </c>
      <c r="J66" s="77">
        <f t="shared" si="238"/>
        <v>6.5</v>
      </c>
      <c r="K66" s="77">
        <f t="shared" si="238"/>
        <v>6.5</v>
      </c>
      <c r="L66" s="77">
        <f t="shared" si="238"/>
        <v>6.5</v>
      </c>
      <c r="M66" s="77">
        <f t="shared" si="238"/>
        <v>6.5</v>
      </c>
      <c r="N66" s="77">
        <f t="shared" si="238"/>
        <v>6.5</v>
      </c>
      <c r="O66" s="77">
        <f t="shared" si="238"/>
        <v>6.5</v>
      </c>
      <c r="P66" s="77">
        <f t="shared" si="238"/>
        <v>6.5</v>
      </c>
      <c r="Q66" s="77">
        <f t="shared" si="238"/>
        <v>6.5</v>
      </c>
      <c r="R66" s="77">
        <f t="shared" si="238"/>
        <v>6.5</v>
      </c>
      <c r="S66" s="77">
        <f t="shared" si="238"/>
        <v>6.5</v>
      </c>
      <c r="T66" s="77"/>
      <c r="U66" s="77">
        <f t="shared" ref="U66:AF66" si="239">U8+U10+U12+U14+U16+U22+U24+U26+U28+U30+U36+U38+U40+U42+U44+U50+U52+U54+U56+U58</f>
        <v>7.9</v>
      </c>
      <c r="V66" s="77">
        <f t="shared" si="239"/>
        <v>7.9</v>
      </c>
      <c r="W66" s="77">
        <f t="shared" si="239"/>
        <v>7.9</v>
      </c>
      <c r="X66" s="77">
        <f t="shared" si="239"/>
        <v>7.9</v>
      </c>
      <c r="Y66" s="77">
        <f t="shared" si="239"/>
        <v>7.9</v>
      </c>
      <c r="Z66" s="77">
        <f t="shared" si="239"/>
        <v>7.9</v>
      </c>
      <c r="AA66" s="77">
        <f t="shared" si="239"/>
        <v>7.9</v>
      </c>
      <c r="AB66" s="77">
        <f t="shared" si="239"/>
        <v>7.9</v>
      </c>
      <c r="AC66" s="77">
        <f t="shared" si="239"/>
        <v>7.9</v>
      </c>
      <c r="AD66" s="77">
        <f t="shared" si="239"/>
        <v>7.9</v>
      </c>
      <c r="AE66" s="77">
        <f t="shared" si="239"/>
        <v>7.9</v>
      </c>
      <c r="AF66" s="77">
        <f t="shared" si="239"/>
        <v>7.9</v>
      </c>
      <c r="AG66" s="77"/>
      <c r="AH66" s="77">
        <f t="shared" ref="AH66:AS66" si="240">AH8+AH10+AH12+AH14+AH16+AH22+AH24+AH26+AH28+AH30+AH36+AH38+AH40+AH42+AH44+AH50+AH52+AH54+AH56+AH58</f>
        <v>9.4499999999999993</v>
      </c>
      <c r="AI66" s="77">
        <f t="shared" si="240"/>
        <v>9.4499999999999993</v>
      </c>
      <c r="AJ66" s="77">
        <f t="shared" si="240"/>
        <v>9.4499999999999993</v>
      </c>
      <c r="AK66" s="77">
        <f t="shared" si="240"/>
        <v>9.4499999999999993</v>
      </c>
      <c r="AL66" s="77">
        <f t="shared" si="240"/>
        <v>9.4499999999999993</v>
      </c>
      <c r="AM66" s="77">
        <f t="shared" si="240"/>
        <v>9.4499999999999993</v>
      </c>
      <c r="AN66" s="77">
        <f t="shared" si="240"/>
        <v>9.4499999999999993</v>
      </c>
      <c r="AO66" s="77">
        <f t="shared" si="240"/>
        <v>9.4499999999999993</v>
      </c>
      <c r="AP66" s="77">
        <f t="shared" si="240"/>
        <v>9.4499999999999993</v>
      </c>
      <c r="AQ66" s="77">
        <f t="shared" si="240"/>
        <v>9.4499999999999993</v>
      </c>
      <c r="AR66" s="77">
        <f t="shared" si="240"/>
        <v>9.4499999999999993</v>
      </c>
      <c r="AS66" s="77">
        <f t="shared" si="240"/>
        <v>9.4499999999999993</v>
      </c>
      <c r="AT66" s="77"/>
      <c r="AU66" s="77">
        <f t="shared" ref="AU66:BF66" si="241">AU8+AU10+AU12+AU14+AU16+AU22+AU24+AU26+AU28+AU30+AU36+AU38+AU40+AU42+AU44+AU50+AU52+AU54+AU56+AU58</f>
        <v>10.15</v>
      </c>
      <c r="AV66" s="77">
        <f t="shared" si="241"/>
        <v>10.15</v>
      </c>
      <c r="AW66" s="77">
        <f t="shared" si="241"/>
        <v>10.15</v>
      </c>
      <c r="AX66" s="77">
        <f t="shared" si="241"/>
        <v>10.15</v>
      </c>
      <c r="AY66" s="77">
        <f t="shared" si="241"/>
        <v>10.15</v>
      </c>
      <c r="AZ66" s="77">
        <f t="shared" si="241"/>
        <v>10.15</v>
      </c>
      <c r="BA66" s="77">
        <f t="shared" si="241"/>
        <v>10.15</v>
      </c>
      <c r="BB66" s="77">
        <f t="shared" si="241"/>
        <v>10.15</v>
      </c>
      <c r="BC66" s="77">
        <f t="shared" si="241"/>
        <v>10.15</v>
      </c>
      <c r="BD66" s="77">
        <f t="shared" si="241"/>
        <v>10.15</v>
      </c>
      <c r="BE66" s="77">
        <f t="shared" si="241"/>
        <v>10.15</v>
      </c>
      <c r="BF66" s="77">
        <f t="shared" si="241"/>
        <v>10.15</v>
      </c>
      <c r="BG66" s="77"/>
      <c r="BH66" s="77">
        <f t="shared" ref="BH66:BS66" si="242">BH8+BH10+BH12+BH14+BH16+BH22+BH24+BH26+BH28+BH30+BH36+BH38+BH40+BH42+BH44+BH50+BH52+BH54+BH56+BH58</f>
        <v>11.2</v>
      </c>
      <c r="BI66" s="77">
        <f t="shared" si="242"/>
        <v>11.2</v>
      </c>
      <c r="BJ66" s="77">
        <f t="shared" si="242"/>
        <v>11.2</v>
      </c>
      <c r="BK66" s="77">
        <f t="shared" si="242"/>
        <v>11.2</v>
      </c>
      <c r="BL66" s="77">
        <f t="shared" si="242"/>
        <v>11.2</v>
      </c>
      <c r="BM66" s="77">
        <f t="shared" si="242"/>
        <v>11.2</v>
      </c>
      <c r="BN66" s="77">
        <f t="shared" si="242"/>
        <v>11.2</v>
      </c>
      <c r="BO66" s="77">
        <f t="shared" si="242"/>
        <v>11.2</v>
      </c>
      <c r="BP66" s="77">
        <f t="shared" si="242"/>
        <v>11.2</v>
      </c>
      <c r="BQ66" s="77">
        <f t="shared" si="242"/>
        <v>11.2</v>
      </c>
      <c r="BR66" s="77">
        <f t="shared" si="242"/>
        <v>11.2</v>
      </c>
      <c r="BS66" s="77">
        <f t="shared" si="242"/>
        <v>11.2</v>
      </c>
      <c r="BT66" s="77"/>
      <c r="BU66" s="77"/>
    </row>
    <row r="67" spans="2:73" ht="15.75" customHeight="1">
      <c r="B67" s="2"/>
      <c r="C67" s="2"/>
      <c r="D67" s="2"/>
      <c r="E67" s="2"/>
      <c r="F67" s="60"/>
      <c r="G67" s="60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</row>
    <row r="68" spans="2:73" ht="15.75" customHeight="1">
      <c r="B68" s="2"/>
      <c r="C68" s="2"/>
      <c r="D68" s="2"/>
      <c r="E68" s="2"/>
      <c r="F68" s="60"/>
      <c r="G68" s="60"/>
      <c r="H68" s="2"/>
      <c r="I68" s="2"/>
      <c r="J68" s="2"/>
      <c r="K68" s="2"/>
      <c r="L68" s="2"/>
      <c r="M68" s="2"/>
      <c r="N68" s="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</row>
    <row r="69" spans="2:73" ht="15.75" customHeight="1"/>
    <row r="70" spans="2:73" ht="15.75" customHeight="1"/>
    <row r="71" spans="2:73" ht="15.75" customHeight="1"/>
    <row r="72" spans="2:73" ht="15.75" customHeight="1"/>
    <row r="73" spans="2:73" ht="15.75" customHeight="1"/>
    <row r="74" spans="2:73" ht="15.75" customHeight="1"/>
    <row r="75" spans="2:73" ht="15.75" customHeight="1"/>
    <row r="76" spans="2:73" ht="15.75" customHeight="1"/>
    <row r="77" spans="2:73" ht="15.75" customHeight="1"/>
    <row r="78" spans="2:73" ht="15.75" customHeight="1"/>
    <row r="79" spans="2:73" ht="15.75" customHeight="1"/>
    <row r="80" spans="2:73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</sheetData>
  <protectedRanges>
    <protectedRange sqref="E6 C7:D7 C9:D9 C13:D13 C15:D15 C11:D11 H8 H10 H12 H14 H16 C21:D21 C23:D23 C25:D25 C27:D27 C29:D29 C43:D43 C41:D41 C39:D39 C37:D37 C35:D35 C53 C55 C57 C49:D49 C51:D51 U10 AH10 AU10 BH10" name="Range1"/>
  </protectedRanges>
  <mergeCells count="1">
    <mergeCell ref="D4:F4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1000"/>
  <sheetViews>
    <sheetView workbookViewId="0">
      <pane xSplit="2" ySplit="4" topLeftCell="C8" activePane="bottomRight" state="frozen"/>
      <selection pane="topRight" activeCell="C1" sqref="C1"/>
      <selection pane="bottomLeft" activeCell="A5" sqref="A5"/>
      <selection pane="bottomRight" activeCell="H18" sqref="H18"/>
    </sheetView>
  </sheetViews>
  <sheetFormatPr defaultColWidth="14.453125" defaultRowHeight="15" customHeight="1"/>
  <cols>
    <col min="1" max="1" width="5.453125" customWidth="1"/>
    <col min="2" max="2" width="21.1796875" customWidth="1"/>
    <col min="3" max="3" width="47.453125" customWidth="1"/>
    <col min="4" max="4" width="28.26953125" customWidth="1"/>
    <col min="5" max="6" width="10.54296875" customWidth="1"/>
    <col min="7" max="7" width="8.7265625" customWidth="1"/>
    <col min="8" max="8" width="10.1796875" customWidth="1"/>
    <col min="9" max="9" width="9.54296875" customWidth="1"/>
    <col min="10" max="10" width="8.7265625" customWidth="1"/>
    <col min="11" max="26" width="17.26953125" customWidth="1"/>
  </cols>
  <sheetData>
    <row r="1" spans="1:10" ht="14.5">
      <c r="A1" s="1" t="str">
        <f>Assumptions!A1</f>
        <v>Central Brewing Company</v>
      </c>
      <c r="C1" s="2"/>
      <c r="D1" s="2"/>
      <c r="E1" s="3"/>
      <c r="F1" s="2"/>
      <c r="H1" s="2"/>
      <c r="I1" s="2"/>
    </row>
    <row r="2" spans="1:10" ht="14.5">
      <c r="A2" s="2" t="s">
        <v>251</v>
      </c>
      <c r="C2" s="2"/>
      <c r="D2" s="2"/>
      <c r="E2" s="3"/>
      <c r="F2" s="2"/>
      <c r="H2" s="2"/>
      <c r="I2" s="2"/>
    </row>
    <row r="3" spans="1:10" ht="14.5">
      <c r="A3" s="2" t="s">
        <v>252</v>
      </c>
      <c r="C3" s="2"/>
      <c r="D3" s="2"/>
      <c r="E3" s="3"/>
      <c r="F3" s="2"/>
      <c r="H3" s="2"/>
      <c r="I3" s="2"/>
    </row>
    <row r="4" spans="1:10" ht="14.5">
      <c r="A4" s="2" t="s">
        <v>253</v>
      </c>
      <c r="C4" s="2"/>
      <c r="D4" s="2"/>
      <c r="E4" s="3"/>
      <c r="F4" s="2"/>
      <c r="H4" s="2"/>
      <c r="I4" s="2"/>
    </row>
    <row r="5" spans="1:10" ht="14.5">
      <c r="A5" s="2"/>
      <c r="C5" s="2"/>
      <c r="D5" s="2"/>
      <c r="E5" s="3"/>
      <c r="F5" s="2"/>
      <c r="H5" s="2"/>
      <c r="I5" s="2"/>
    </row>
    <row r="6" spans="1:10" ht="14.5">
      <c r="A6" s="2"/>
      <c r="C6" s="2"/>
      <c r="D6" s="2"/>
      <c r="E6" s="3"/>
      <c r="F6" s="2"/>
      <c r="H6" s="2"/>
      <c r="I6" s="2"/>
    </row>
    <row r="7" spans="1:10" ht="14.5">
      <c r="A7" s="2"/>
      <c r="C7" s="2"/>
      <c r="D7" s="2"/>
      <c r="E7" s="3"/>
      <c r="F7" s="2"/>
      <c r="H7" s="2"/>
      <c r="I7" s="2"/>
    </row>
    <row r="8" spans="1:10" ht="14.5">
      <c r="A8" s="2"/>
      <c r="B8" s="376" t="s">
        <v>254</v>
      </c>
      <c r="C8" s="372"/>
      <c r="D8" s="372"/>
      <c r="E8" s="372"/>
      <c r="F8" s="372"/>
      <c r="G8" s="376" t="s">
        <v>48</v>
      </c>
      <c r="H8" s="372"/>
      <c r="I8" s="372"/>
      <c r="J8" s="372"/>
    </row>
    <row r="9" spans="1:10" ht="30" customHeight="1">
      <c r="A9" s="2"/>
      <c r="B9" s="118" t="s">
        <v>255</v>
      </c>
      <c r="C9" s="119" t="s">
        <v>256</v>
      </c>
      <c r="D9" s="119" t="s">
        <v>257</v>
      </c>
      <c r="E9" s="120" t="s">
        <v>127</v>
      </c>
      <c r="F9" s="121" t="s">
        <v>258</v>
      </c>
      <c r="G9" s="119" t="s">
        <v>259</v>
      </c>
      <c r="H9" s="119" t="s">
        <v>260</v>
      </c>
      <c r="I9" s="119" t="s">
        <v>261</v>
      </c>
      <c r="J9" s="119" t="s">
        <v>262</v>
      </c>
    </row>
    <row r="10" spans="1:10" ht="14.5">
      <c r="A10" s="122">
        <v>1</v>
      </c>
      <c r="B10" s="123">
        <v>1</v>
      </c>
      <c r="C10" s="329" t="s">
        <v>581</v>
      </c>
      <c r="D10" s="124"/>
      <c r="E10" s="125">
        <v>0</v>
      </c>
      <c r="F10" s="126"/>
      <c r="G10" s="127" t="str">
        <f t="shared" ref="G10:G26" si="0">IF(C10="","","SL")</f>
        <v>SL</v>
      </c>
      <c r="H10" s="128">
        <v>30</v>
      </c>
      <c r="I10" s="129">
        <f t="shared" ref="I10:I109" si="1">IF(H10&gt;0,(ROUND(E10/H10/12,0)),"")</f>
        <v>0</v>
      </c>
      <c r="J10" s="129">
        <f t="shared" ref="J10:J109" si="2">B10+(12*H10)</f>
        <v>361</v>
      </c>
    </row>
    <row r="11" spans="1:10" ht="14.5">
      <c r="A11" s="122">
        <f t="shared" ref="A11:A109" si="3">A10+1</f>
        <v>2</v>
      </c>
      <c r="B11" s="130">
        <v>1</v>
      </c>
      <c r="C11" s="330" t="s">
        <v>562</v>
      </c>
      <c r="D11" s="124"/>
      <c r="E11" s="132">
        <v>50000</v>
      </c>
      <c r="F11" s="133"/>
      <c r="G11" s="127" t="str">
        <f t="shared" si="0"/>
        <v>SL</v>
      </c>
      <c r="H11" s="128">
        <v>30</v>
      </c>
      <c r="I11" s="129">
        <f t="shared" si="1"/>
        <v>139</v>
      </c>
      <c r="J11" s="129">
        <f t="shared" si="2"/>
        <v>361</v>
      </c>
    </row>
    <row r="12" spans="1:10" ht="29">
      <c r="A12" s="122">
        <f t="shared" si="3"/>
        <v>3</v>
      </c>
      <c r="B12" s="130">
        <v>1</v>
      </c>
      <c r="C12" s="330" t="s">
        <v>586</v>
      </c>
      <c r="D12" s="124" t="s">
        <v>582</v>
      </c>
      <c r="E12" s="132">
        <f>400000*F12</f>
        <v>0</v>
      </c>
      <c r="F12" s="132">
        <v>0</v>
      </c>
      <c r="G12" s="127" t="str">
        <f t="shared" si="0"/>
        <v>SL</v>
      </c>
      <c r="H12" s="128">
        <v>30</v>
      </c>
      <c r="I12" s="129">
        <f t="shared" si="1"/>
        <v>0</v>
      </c>
      <c r="J12" s="129">
        <f t="shared" si="2"/>
        <v>361</v>
      </c>
    </row>
    <row r="13" spans="1:10" ht="14.5">
      <c r="A13" s="122">
        <f t="shared" si="3"/>
        <v>4</v>
      </c>
      <c r="B13" s="130">
        <v>1</v>
      </c>
      <c r="C13" s="336" t="s">
        <v>584</v>
      </c>
      <c r="D13" s="124" t="s">
        <v>583</v>
      </c>
      <c r="E13" s="132">
        <v>15000</v>
      </c>
      <c r="F13" s="133"/>
      <c r="G13" s="127" t="str">
        <f t="shared" si="0"/>
        <v>SL</v>
      </c>
      <c r="H13" s="128">
        <v>30</v>
      </c>
      <c r="I13" s="129">
        <f t="shared" si="1"/>
        <v>42</v>
      </c>
      <c r="J13" s="129">
        <f t="shared" si="2"/>
        <v>361</v>
      </c>
    </row>
    <row r="14" spans="1:10" ht="14.5">
      <c r="A14" s="122">
        <f t="shared" si="3"/>
        <v>5</v>
      </c>
      <c r="B14" s="130">
        <v>1</v>
      </c>
      <c r="C14" s="336" t="s">
        <v>585</v>
      </c>
      <c r="D14" s="124"/>
      <c r="E14" s="132">
        <v>12000</v>
      </c>
      <c r="F14" s="133"/>
      <c r="G14" s="127" t="str">
        <f t="shared" si="0"/>
        <v>SL</v>
      </c>
      <c r="H14" s="128">
        <v>30</v>
      </c>
      <c r="I14" s="129">
        <f t="shared" si="1"/>
        <v>33</v>
      </c>
      <c r="J14" s="129">
        <f t="shared" si="2"/>
        <v>361</v>
      </c>
    </row>
    <row r="15" spans="1:10" ht="14.5">
      <c r="A15" s="122">
        <f t="shared" si="3"/>
        <v>6</v>
      </c>
      <c r="B15" s="130">
        <v>1</v>
      </c>
      <c r="C15" s="336" t="s">
        <v>589</v>
      </c>
      <c r="D15" s="124"/>
      <c r="E15" s="132">
        <v>0</v>
      </c>
      <c r="F15" s="133"/>
      <c r="G15" s="127" t="str">
        <f t="shared" si="0"/>
        <v>SL</v>
      </c>
      <c r="H15" s="128">
        <v>15</v>
      </c>
      <c r="I15" s="129">
        <f t="shared" si="1"/>
        <v>0</v>
      </c>
      <c r="J15" s="129">
        <f t="shared" si="2"/>
        <v>181</v>
      </c>
    </row>
    <row r="16" spans="1:10" ht="14.5">
      <c r="A16" s="122">
        <f t="shared" si="3"/>
        <v>7</v>
      </c>
      <c r="B16" s="130">
        <v>1</v>
      </c>
      <c r="C16" s="330" t="s">
        <v>592</v>
      </c>
      <c r="D16" s="124" t="s">
        <v>590</v>
      </c>
      <c r="E16" s="132">
        <v>0</v>
      </c>
      <c r="F16" s="133"/>
      <c r="G16" s="127" t="str">
        <f t="shared" si="0"/>
        <v>SL</v>
      </c>
      <c r="H16" s="128">
        <v>15</v>
      </c>
      <c r="I16" s="129">
        <f t="shared" si="1"/>
        <v>0</v>
      </c>
      <c r="J16" s="129">
        <f t="shared" si="2"/>
        <v>181</v>
      </c>
    </row>
    <row r="17" spans="1:10" ht="14.5">
      <c r="A17" s="122">
        <f t="shared" si="3"/>
        <v>8</v>
      </c>
      <c r="B17" s="130">
        <v>1</v>
      </c>
      <c r="C17" s="131" t="s">
        <v>593</v>
      </c>
      <c r="D17" s="124"/>
      <c r="E17" s="132">
        <v>10000</v>
      </c>
      <c r="F17" s="133"/>
      <c r="G17" s="127" t="str">
        <f t="shared" si="0"/>
        <v>SL</v>
      </c>
      <c r="H17" s="128">
        <v>30</v>
      </c>
      <c r="I17" s="129">
        <f t="shared" si="1"/>
        <v>28</v>
      </c>
      <c r="J17" s="129">
        <f t="shared" si="2"/>
        <v>361</v>
      </c>
    </row>
    <row r="18" spans="1:10" ht="14.5">
      <c r="A18" s="122">
        <f t="shared" si="3"/>
        <v>9</v>
      </c>
      <c r="B18" s="130">
        <v>1</v>
      </c>
      <c r="C18" s="131" t="s">
        <v>263</v>
      </c>
      <c r="D18" s="124"/>
      <c r="E18" s="132">
        <v>0</v>
      </c>
      <c r="F18" s="133"/>
      <c r="G18" s="127" t="str">
        <f t="shared" si="0"/>
        <v>SL</v>
      </c>
      <c r="H18" s="128">
        <v>10</v>
      </c>
      <c r="I18" s="129">
        <f t="shared" si="1"/>
        <v>0</v>
      </c>
      <c r="J18" s="129">
        <f t="shared" si="2"/>
        <v>121</v>
      </c>
    </row>
    <row r="19" spans="1:10" ht="14.5">
      <c r="A19" s="122">
        <f t="shared" si="3"/>
        <v>10</v>
      </c>
      <c r="B19" s="130">
        <v>1</v>
      </c>
      <c r="C19" s="131" t="s">
        <v>599</v>
      </c>
      <c r="D19" s="124"/>
      <c r="E19" s="132">
        <v>26000</v>
      </c>
      <c r="F19" s="133"/>
      <c r="G19" s="127" t="str">
        <f t="shared" si="0"/>
        <v>SL</v>
      </c>
      <c r="H19" s="128">
        <v>15</v>
      </c>
      <c r="I19" s="129">
        <f t="shared" si="1"/>
        <v>144</v>
      </c>
      <c r="J19" s="129">
        <f t="shared" si="2"/>
        <v>181</v>
      </c>
    </row>
    <row r="20" spans="1:10" ht="14.5">
      <c r="A20" s="122">
        <f t="shared" si="3"/>
        <v>11</v>
      </c>
      <c r="B20" s="130">
        <v>1</v>
      </c>
      <c r="C20" s="131" t="s">
        <v>264</v>
      </c>
      <c r="D20" s="124"/>
      <c r="E20" s="132">
        <v>0</v>
      </c>
      <c r="F20" s="133"/>
      <c r="G20" s="127" t="str">
        <f t="shared" si="0"/>
        <v>SL</v>
      </c>
      <c r="H20" s="128">
        <v>10</v>
      </c>
      <c r="I20" s="129">
        <f t="shared" si="1"/>
        <v>0</v>
      </c>
      <c r="J20" s="129">
        <f t="shared" si="2"/>
        <v>121</v>
      </c>
    </row>
    <row r="21" spans="1:10" ht="15.75" customHeight="1">
      <c r="A21" s="122">
        <f t="shared" si="3"/>
        <v>12</v>
      </c>
      <c r="B21" s="130">
        <v>1</v>
      </c>
      <c r="C21" s="131" t="s">
        <v>265</v>
      </c>
      <c r="D21" s="124"/>
      <c r="E21" s="132">
        <v>4800</v>
      </c>
      <c r="F21" s="133"/>
      <c r="G21" s="127" t="str">
        <f t="shared" si="0"/>
        <v>SL</v>
      </c>
      <c r="H21" s="128">
        <v>15</v>
      </c>
      <c r="I21" s="129">
        <f t="shared" si="1"/>
        <v>27</v>
      </c>
      <c r="J21" s="129">
        <f t="shared" si="2"/>
        <v>181</v>
      </c>
    </row>
    <row r="22" spans="1:10" ht="15.75" customHeight="1">
      <c r="A22" s="122">
        <f t="shared" si="3"/>
        <v>13</v>
      </c>
      <c r="B22" s="130">
        <v>1</v>
      </c>
      <c r="C22" s="330" t="s">
        <v>591</v>
      </c>
      <c r="D22" s="124"/>
      <c r="E22" s="132">
        <f>15*100</f>
        <v>1500</v>
      </c>
      <c r="F22" s="133"/>
      <c r="G22" s="127" t="str">
        <f t="shared" si="0"/>
        <v>SL</v>
      </c>
      <c r="H22" s="128">
        <v>10</v>
      </c>
      <c r="I22" s="129">
        <f t="shared" si="1"/>
        <v>13</v>
      </c>
      <c r="J22" s="129">
        <f t="shared" si="2"/>
        <v>121</v>
      </c>
    </row>
    <row r="23" spans="1:10" ht="15.75" customHeight="1">
      <c r="A23" s="122">
        <f t="shared" si="3"/>
        <v>14</v>
      </c>
      <c r="B23" s="130">
        <v>1</v>
      </c>
      <c r="C23" s="131" t="s">
        <v>587</v>
      </c>
      <c r="D23" s="124"/>
      <c r="E23" s="132">
        <f>30*125</f>
        <v>3750</v>
      </c>
      <c r="F23" s="133"/>
      <c r="G23" s="127" t="str">
        <f t="shared" si="0"/>
        <v>SL</v>
      </c>
      <c r="H23" s="128">
        <v>10</v>
      </c>
      <c r="I23" s="129">
        <f t="shared" si="1"/>
        <v>31</v>
      </c>
      <c r="J23" s="129">
        <f t="shared" si="2"/>
        <v>121</v>
      </c>
    </row>
    <row r="24" spans="1:10" ht="15.75" customHeight="1">
      <c r="A24" s="122">
        <f t="shared" si="3"/>
        <v>15</v>
      </c>
      <c r="B24" s="130">
        <v>1</v>
      </c>
      <c r="C24" s="131" t="s">
        <v>588</v>
      </c>
      <c r="D24" s="124"/>
      <c r="E24" s="132">
        <f>20*85</f>
        <v>1700</v>
      </c>
      <c r="F24" s="133"/>
      <c r="G24" s="127" t="str">
        <f t="shared" si="0"/>
        <v>SL</v>
      </c>
      <c r="H24" s="128">
        <v>10</v>
      </c>
      <c r="I24" s="129">
        <f t="shared" si="1"/>
        <v>14</v>
      </c>
      <c r="J24" s="129">
        <f t="shared" si="2"/>
        <v>121</v>
      </c>
    </row>
    <row r="25" spans="1:10" ht="15.75" customHeight="1">
      <c r="A25" s="122">
        <f t="shared" si="3"/>
        <v>16</v>
      </c>
      <c r="B25" s="130">
        <v>1</v>
      </c>
      <c r="C25" s="330" t="s">
        <v>563</v>
      </c>
      <c r="D25" s="124"/>
      <c r="E25" s="132">
        <v>10000</v>
      </c>
      <c r="F25" s="133"/>
      <c r="G25" s="127" t="str">
        <f t="shared" si="0"/>
        <v>SL</v>
      </c>
      <c r="H25" s="128">
        <v>10</v>
      </c>
      <c r="I25" s="129">
        <f t="shared" si="1"/>
        <v>83</v>
      </c>
      <c r="J25" s="129">
        <f t="shared" si="2"/>
        <v>121</v>
      </c>
    </row>
    <row r="26" spans="1:10" ht="15.75" customHeight="1">
      <c r="A26" s="122">
        <f t="shared" si="3"/>
        <v>17</v>
      </c>
      <c r="B26" s="130">
        <v>1</v>
      </c>
      <c r="C26" s="330" t="s">
        <v>163</v>
      </c>
      <c r="D26" s="124"/>
      <c r="E26" s="132">
        <f>25000*F26</f>
        <v>25000</v>
      </c>
      <c r="F26" s="132">
        <v>1</v>
      </c>
      <c r="G26" s="127" t="str">
        <f t="shared" si="0"/>
        <v>SL</v>
      </c>
      <c r="H26" s="128">
        <v>15</v>
      </c>
      <c r="I26" s="129">
        <f t="shared" si="1"/>
        <v>139</v>
      </c>
      <c r="J26" s="129">
        <f t="shared" si="2"/>
        <v>181</v>
      </c>
    </row>
    <row r="27" spans="1:10" ht="15.75" customHeight="1">
      <c r="A27" s="122">
        <f t="shared" si="3"/>
        <v>18</v>
      </c>
      <c r="B27" s="130">
        <v>1</v>
      </c>
      <c r="C27" s="330" t="s">
        <v>564</v>
      </c>
      <c r="D27" s="124"/>
      <c r="E27" s="132">
        <f>20000*F27</f>
        <v>20000</v>
      </c>
      <c r="F27" s="132">
        <v>1</v>
      </c>
      <c r="G27" s="127" t="str">
        <f t="shared" ref="G27:G109" si="4">IF(C27="","","SL")</f>
        <v>SL</v>
      </c>
      <c r="H27" s="128">
        <v>30</v>
      </c>
      <c r="I27" s="129">
        <f t="shared" si="1"/>
        <v>56</v>
      </c>
      <c r="J27" s="129">
        <f t="shared" si="2"/>
        <v>361</v>
      </c>
    </row>
    <row r="28" spans="1:10" ht="15.75" customHeight="1">
      <c r="A28" s="122">
        <f t="shared" si="3"/>
        <v>19</v>
      </c>
      <c r="B28" s="130">
        <v>1</v>
      </c>
      <c r="C28" s="330" t="s">
        <v>568</v>
      </c>
      <c r="D28" s="124"/>
      <c r="E28" s="132">
        <v>2000</v>
      </c>
      <c r="F28" s="133"/>
      <c r="G28" s="127" t="str">
        <f t="shared" si="4"/>
        <v>SL</v>
      </c>
      <c r="H28" s="128">
        <v>15</v>
      </c>
      <c r="I28" s="129">
        <f t="shared" si="1"/>
        <v>11</v>
      </c>
      <c r="J28" s="129">
        <f t="shared" si="2"/>
        <v>181</v>
      </c>
    </row>
    <row r="29" spans="1:10" ht="15.75" customHeight="1">
      <c r="A29" s="122">
        <f t="shared" si="3"/>
        <v>20</v>
      </c>
      <c r="B29" s="130">
        <v>1</v>
      </c>
      <c r="C29" s="330" t="s">
        <v>569</v>
      </c>
      <c r="D29" s="124"/>
      <c r="E29" s="132">
        <v>1500</v>
      </c>
      <c r="F29" s="133"/>
      <c r="G29" s="127" t="str">
        <f t="shared" si="4"/>
        <v>SL</v>
      </c>
      <c r="H29" s="128">
        <v>5</v>
      </c>
      <c r="I29" s="129">
        <f t="shared" si="1"/>
        <v>25</v>
      </c>
      <c r="J29" s="129">
        <f t="shared" si="2"/>
        <v>61</v>
      </c>
    </row>
    <row r="30" spans="1:10" ht="15.75" customHeight="1">
      <c r="A30" s="122">
        <f t="shared" si="3"/>
        <v>21</v>
      </c>
      <c r="B30" s="130">
        <v>1</v>
      </c>
      <c r="C30" s="330" t="s">
        <v>570</v>
      </c>
      <c r="D30" s="124"/>
      <c r="E30" s="132">
        <v>2000</v>
      </c>
      <c r="F30" s="133"/>
      <c r="G30" s="127" t="str">
        <f t="shared" si="4"/>
        <v>SL</v>
      </c>
      <c r="H30" s="128">
        <v>5</v>
      </c>
      <c r="I30" s="129">
        <f t="shared" si="1"/>
        <v>33</v>
      </c>
      <c r="J30" s="129">
        <f t="shared" si="2"/>
        <v>61</v>
      </c>
    </row>
    <row r="31" spans="1:10" ht="15.75" customHeight="1">
      <c r="A31" s="122">
        <f t="shared" si="3"/>
        <v>22</v>
      </c>
      <c r="B31" s="130">
        <v>1</v>
      </c>
      <c r="C31" s="330" t="s">
        <v>565</v>
      </c>
      <c r="D31" s="124"/>
      <c r="E31" s="132">
        <v>10000</v>
      </c>
      <c r="F31" s="133"/>
      <c r="G31" s="127" t="str">
        <f t="shared" si="4"/>
        <v>SL</v>
      </c>
      <c r="H31" s="128">
        <v>15</v>
      </c>
      <c r="I31" s="129">
        <f t="shared" si="1"/>
        <v>56</v>
      </c>
      <c r="J31" s="129">
        <f t="shared" si="2"/>
        <v>181</v>
      </c>
    </row>
    <row r="32" spans="1:10" ht="15.75" customHeight="1">
      <c r="A32" s="122">
        <f t="shared" si="3"/>
        <v>23</v>
      </c>
      <c r="B32" s="130">
        <v>1</v>
      </c>
      <c r="C32" s="330" t="s">
        <v>566</v>
      </c>
      <c r="D32" s="124"/>
      <c r="E32" s="132">
        <v>20000</v>
      </c>
      <c r="F32" s="133"/>
      <c r="G32" s="127" t="str">
        <f t="shared" si="4"/>
        <v>SL</v>
      </c>
      <c r="H32" s="128">
        <v>10</v>
      </c>
      <c r="I32" s="129">
        <f t="shared" si="1"/>
        <v>167</v>
      </c>
      <c r="J32" s="129">
        <f t="shared" si="2"/>
        <v>121</v>
      </c>
    </row>
    <row r="33" spans="1:10" ht="15.75" customHeight="1">
      <c r="A33" s="122">
        <f t="shared" si="3"/>
        <v>24</v>
      </c>
      <c r="B33" s="130">
        <v>1</v>
      </c>
      <c r="C33" s="330" t="s">
        <v>567</v>
      </c>
      <c r="D33" s="124"/>
      <c r="E33" s="132">
        <v>5000</v>
      </c>
      <c r="F33" s="133"/>
      <c r="G33" s="127" t="str">
        <f t="shared" si="4"/>
        <v>SL</v>
      </c>
      <c r="H33" s="128">
        <v>10</v>
      </c>
      <c r="I33" s="129">
        <f t="shared" si="1"/>
        <v>42</v>
      </c>
      <c r="J33" s="129">
        <f t="shared" si="2"/>
        <v>121</v>
      </c>
    </row>
    <row r="34" spans="1:10" ht="15.75" customHeight="1">
      <c r="A34" s="122">
        <f t="shared" si="3"/>
        <v>25</v>
      </c>
      <c r="B34" s="130">
        <v>1</v>
      </c>
      <c r="C34" s="330" t="s">
        <v>603</v>
      </c>
      <c r="D34" s="124"/>
      <c r="E34" s="132">
        <f>SUM(E10:E33)*0.1</f>
        <v>22025</v>
      </c>
      <c r="F34" s="133"/>
      <c r="G34" s="127" t="str">
        <f t="shared" si="4"/>
        <v>SL</v>
      </c>
      <c r="H34" s="128">
        <v>15</v>
      </c>
      <c r="I34" s="129">
        <f t="shared" si="1"/>
        <v>122</v>
      </c>
      <c r="J34" s="129">
        <f t="shared" si="2"/>
        <v>181</v>
      </c>
    </row>
    <row r="35" spans="1:10" ht="15.75" customHeight="1">
      <c r="A35" s="122">
        <f t="shared" si="3"/>
        <v>26</v>
      </c>
      <c r="B35" s="130">
        <v>1</v>
      </c>
      <c r="C35" s="330"/>
      <c r="D35" s="124"/>
      <c r="E35" s="132"/>
      <c r="F35" s="133"/>
      <c r="G35" s="127" t="str">
        <f t="shared" si="4"/>
        <v/>
      </c>
      <c r="H35" s="128"/>
      <c r="I35" s="129" t="str">
        <f t="shared" si="1"/>
        <v/>
      </c>
      <c r="J35" s="129">
        <f t="shared" si="2"/>
        <v>1</v>
      </c>
    </row>
    <row r="36" spans="1:10" ht="15.75" customHeight="1">
      <c r="A36" s="122">
        <f t="shared" si="3"/>
        <v>27</v>
      </c>
      <c r="B36" s="130">
        <v>1</v>
      </c>
      <c r="C36" s="330"/>
      <c r="D36" s="124"/>
      <c r="E36" s="132"/>
      <c r="F36" s="133"/>
      <c r="G36" s="127" t="str">
        <f>IF(C36="","","SL")</f>
        <v/>
      </c>
      <c r="H36" s="128"/>
      <c r="I36" s="129" t="str">
        <f t="shared" si="1"/>
        <v/>
      </c>
      <c r="J36" s="129">
        <f t="shared" si="2"/>
        <v>1</v>
      </c>
    </row>
    <row r="37" spans="1:10" ht="15.75" customHeight="1">
      <c r="A37" s="122">
        <f t="shared" si="3"/>
        <v>28</v>
      </c>
      <c r="B37" s="130">
        <v>1</v>
      </c>
      <c r="C37" s="330"/>
      <c r="D37" s="124"/>
      <c r="E37" s="132"/>
      <c r="F37" s="133"/>
      <c r="G37" s="127" t="str">
        <f>IF(C37="","","SL")</f>
        <v/>
      </c>
      <c r="H37" s="128"/>
      <c r="I37" s="129" t="str">
        <f t="shared" si="1"/>
        <v/>
      </c>
      <c r="J37" s="129">
        <f t="shared" si="2"/>
        <v>1</v>
      </c>
    </row>
    <row r="38" spans="1:10" ht="15.75" customHeight="1">
      <c r="A38" s="122">
        <f t="shared" si="3"/>
        <v>29</v>
      </c>
      <c r="B38" s="130">
        <v>1</v>
      </c>
      <c r="C38" s="330"/>
      <c r="D38" s="124"/>
      <c r="E38" s="132"/>
      <c r="F38" s="133"/>
      <c r="G38" s="127" t="str">
        <f>IF(C38="","","SL")</f>
        <v/>
      </c>
      <c r="H38" s="128"/>
      <c r="I38" s="129" t="str">
        <f t="shared" si="1"/>
        <v/>
      </c>
      <c r="J38" s="129">
        <f t="shared" si="2"/>
        <v>1</v>
      </c>
    </row>
    <row r="39" spans="1:10" ht="15.75" customHeight="1">
      <c r="A39" s="122">
        <f t="shared" si="3"/>
        <v>30</v>
      </c>
      <c r="B39" s="130"/>
      <c r="C39" s="131"/>
      <c r="D39" s="124"/>
      <c r="E39" s="132"/>
      <c r="F39" s="133"/>
      <c r="G39" s="127" t="str">
        <f t="shared" si="4"/>
        <v/>
      </c>
      <c r="H39" s="128"/>
      <c r="I39" s="129" t="str">
        <f t="shared" si="1"/>
        <v/>
      </c>
      <c r="J39" s="129">
        <f t="shared" si="2"/>
        <v>0</v>
      </c>
    </row>
    <row r="40" spans="1:10" ht="15.75" customHeight="1">
      <c r="A40" s="122">
        <f t="shared" si="3"/>
        <v>31</v>
      </c>
      <c r="B40" s="130"/>
      <c r="C40" s="131"/>
      <c r="D40" s="124"/>
      <c r="E40" s="132"/>
      <c r="F40" s="133"/>
      <c r="G40" s="127" t="str">
        <f t="shared" si="4"/>
        <v/>
      </c>
      <c r="H40" s="128"/>
      <c r="I40" s="129" t="str">
        <f t="shared" si="1"/>
        <v/>
      </c>
      <c r="J40" s="129">
        <f t="shared" si="2"/>
        <v>0</v>
      </c>
    </row>
    <row r="41" spans="1:10" ht="15.75" customHeight="1">
      <c r="A41" s="122">
        <f t="shared" si="3"/>
        <v>32</v>
      </c>
      <c r="B41" s="130"/>
      <c r="C41" s="131"/>
      <c r="D41" s="124"/>
      <c r="E41" s="132"/>
      <c r="F41" s="133"/>
      <c r="G41" s="127" t="str">
        <f t="shared" si="4"/>
        <v/>
      </c>
      <c r="H41" s="128"/>
      <c r="I41" s="129" t="str">
        <f t="shared" si="1"/>
        <v/>
      </c>
      <c r="J41" s="129">
        <f t="shared" si="2"/>
        <v>0</v>
      </c>
    </row>
    <row r="42" spans="1:10" ht="15.75" customHeight="1">
      <c r="A42" s="122">
        <f t="shared" si="3"/>
        <v>33</v>
      </c>
      <c r="B42" s="130"/>
      <c r="C42" s="131"/>
      <c r="D42" s="124"/>
      <c r="E42" s="132"/>
      <c r="F42" s="133"/>
      <c r="G42" s="127" t="str">
        <f t="shared" si="4"/>
        <v/>
      </c>
      <c r="H42" s="128"/>
      <c r="I42" s="129" t="str">
        <f t="shared" si="1"/>
        <v/>
      </c>
      <c r="J42" s="129">
        <f t="shared" si="2"/>
        <v>0</v>
      </c>
    </row>
    <row r="43" spans="1:10" ht="15.75" customHeight="1">
      <c r="A43" s="122">
        <f t="shared" si="3"/>
        <v>34</v>
      </c>
      <c r="B43" s="130"/>
      <c r="C43" s="131"/>
      <c r="D43" s="124"/>
      <c r="E43" s="132"/>
      <c r="F43" s="133"/>
      <c r="G43" s="127" t="str">
        <f t="shared" si="4"/>
        <v/>
      </c>
      <c r="H43" s="128"/>
      <c r="I43" s="129" t="str">
        <f t="shared" si="1"/>
        <v/>
      </c>
      <c r="J43" s="129">
        <f t="shared" si="2"/>
        <v>0</v>
      </c>
    </row>
    <row r="44" spans="1:10" ht="15.75" customHeight="1">
      <c r="A44" s="122">
        <f t="shared" si="3"/>
        <v>35</v>
      </c>
      <c r="B44" s="130"/>
      <c r="C44" s="131"/>
      <c r="D44" s="124"/>
      <c r="E44" s="132"/>
      <c r="F44" s="133"/>
      <c r="G44" s="127" t="str">
        <f t="shared" si="4"/>
        <v/>
      </c>
      <c r="H44" s="128"/>
      <c r="I44" s="129" t="str">
        <f t="shared" si="1"/>
        <v/>
      </c>
      <c r="J44" s="129">
        <f t="shared" si="2"/>
        <v>0</v>
      </c>
    </row>
    <row r="45" spans="1:10" ht="15.75" customHeight="1">
      <c r="A45" s="122">
        <f t="shared" si="3"/>
        <v>36</v>
      </c>
      <c r="B45" s="130"/>
      <c r="C45" s="131"/>
      <c r="D45" s="124"/>
      <c r="E45" s="132"/>
      <c r="F45" s="133"/>
      <c r="G45" s="127" t="str">
        <f t="shared" si="4"/>
        <v/>
      </c>
      <c r="H45" s="128"/>
      <c r="I45" s="129" t="str">
        <f t="shared" si="1"/>
        <v/>
      </c>
      <c r="J45" s="129">
        <f t="shared" si="2"/>
        <v>0</v>
      </c>
    </row>
    <row r="46" spans="1:10" ht="15.75" customHeight="1">
      <c r="A46" s="122">
        <f t="shared" si="3"/>
        <v>37</v>
      </c>
      <c r="B46" s="130"/>
      <c r="C46" s="131"/>
      <c r="D46" s="124"/>
      <c r="E46" s="132"/>
      <c r="F46" s="133"/>
      <c r="G46" s="127" t="str">
        <f t="shared" si="4"/>
        <v/>
      </c>
      <c r="H46" s="128"/>
      <c r="I46" s="129" t="str">
        <f t="shared" si="1"/>
        <v/>
      </c>
      <c r="J46" s="129">
        <f t="shared" si="2"/>
        <v>0</v>
      </c>
    </row>
    <row r="47" spans="1:10" ht="15.75" customHeight="1">
      <c r="A47" s="122">
        <f t="shared" si="3"/>
        <v>38</v>
      </c>
      <c r="B47" s="130"/>
      <c r="C47" s="131"/>
      <c r="D47" s="124"/>
      <c r="E47" s="132"/>
      <c r="F47" s="133"/>
      <c r="G47" s="127" t="str">
        <f t="shared" si="4"/>
        <v/>
      </c>
      <c r="H47" s="128"/>
      <c r="I47" s="129" t="str">
        <f t="shared" si="1"/>
        <v/>
      </c>
      <c r="J47" s="129">
        <f t="shared" si="2"/>
        <v>0</v>
      </c>
    </row>
    <row r="48" spans="1:10" ht="15.75" customHeight="1">
      <c r="A48" s="122">
        <f t="shared" si="3"/>
        <v>39</v>
      </c>
      <c r="B48" s="130"/>
      <c r="C48" s="131"/>
      <c r="D48" s="124"/>
      <c r="E48" s="132"/>
      <c r="F48" s="133"/>
      <c r="G48" s="127" t="str">
        <f t="shared" si="4"/>
        <v/>
      </c>
      <c r="H48" s="128"/>
      <c r="I48" s="129" t="str">
        <f t="shared" si="1"/>
        <v/>
      </c>
      <c r="J48" s="129">
        <f t="shared" si="2"/>
        <v>0</v>
      </c>
    </row>
    <row r="49" spans="1:10" ht="15.75" customHeight="1">
      <c r="A49" s="122">
        <f t="shared" si="3"/>
        <v>40</v>
      </c>
      <c r="B49" s="130"/>
      <c r="C49" s="131"/>
      <c r="D49" s="124"/>
      <c r="E49" s="132"/>
      <c r="F49" s="133"/>
      <c r="G49" s="127" t="str">
        <f t="shared" si="4"/>
        <v/>
      </c>
      <c r="H49" s="128"/>
      <c r="I49" s="129" t="str">
        <f t="shared" si="1"/>
        <v/>
      </c>
      <c r="J49" s="129">
        <f t="shared" si="2"/>
        <v>0</v>
      </c>
    </row>
    <row r="50" spans="1:10" ht="15.75" customHeight="1">
      <c r="A50" s="122">
        <f t="shared" si="3"/>
        <v>41</v>
      </c>
      <c r="B50" s="130"/>
      <c r="C50" s="131"/>
      <c r="D50" s="124"/>
      <c r="E50" s="132"/>
      <c r="F50" s="133"/>
      <c r="G50" s="127" t="str">
        <f t="shared" si="4"/>
        <v/>
      </c>
      <c r="H50" s="128"/>
      <c r="I50" s="129" t="str">
        <f t="shared" si="1"/>
        <v/>
      </c>
      <c r="J50" s="129">
        <f t="shared" si="2"/>
        <v>0</v>
      </c>
    </row>
    <row r="51" spans="1:10" ht="15.75" customHeight="1">
      <c r="A51" s="122">
        <f t="shared" si="3"/>
        <v>42</v>
      </c>
      <c r="B51" s="130"/>
      <c r="C51" s="131"/>
      <c r="D51" s="124"/>
      <c r="E51" s="132"/>
      <c r="F51" s="133"/>
      <c r="G51" s="127" t="str">
        <f t="shared" si="4"/>
        <v/>
      </c>
      <c r="H51" s="128"/>
      <c r="I51" s="129" t="str">
        <f t="shared" si="1"/>
        <v/>
      </c>
      <c r="J51" s="129">
        <f t="shared" si="2"/>
        <v>0</v>
      </c>
    </row>
    <row r="52" spans="1:10" ht="15.75" customHeight="1">
      <c r="A52" s="122">
        <f t="shared" si="3"/>
        <v>43</v>
      </c>
      <c r="B52" s="130"/>
      <c r="C52" s="131"/>
      <c r="D52" s="124"/>
      <c r="E52" s="132"/>
      <c r="F52" s="133"/>
      <c r="G52" s="127" t="str">
        <f t="shared" si="4"/>
        <v/>
      </c>
      <c r="H52" s="128"/>
      <c r="I52" s="129" t="str">
        <f t="shared" si="1"/>
        <v/>
      </c>
      <c r="J52" s="129">
        <f t="shared" si="2"/>
        <v>0</v>
      </c>
    </row>
    <row r="53" spans="1:10" ht="15.75" customHeight="1">
      <c r="A53" s="122">
        <f t="shared" si="3"/>
        <v>44</v>
      </c>
      <c r="B53" s="130"/>
      <c r="C53" s="131"/>
      <c r="D53" s="124"/>
      <c r="E53" s="132"/>
      <c r="F53" s="133"/>
      <c r="G53" s="127" t="str">
        <f t="shared" si="4"/>
        <v/>
      </c>
      <c r="H53" s="128"/>
      <c r="I53" s="129" t="str">
        <f t="shared" si="1"/>
        <v/>
      </c>
      <c r="J53" s="129">
        <f t="shared" si="2"/>
        <v>0</v>
      </c>
    </row>
    <row r="54" spans="1:10" ht="15.75" customHeight="1">
      <c r="A54" s="122">
        <f t="shared" si="3"/>
        <v>45</v>
      </c>
      <c r="B54" s="130"/>
      <c r="C54" s="131"/>
      <c r="D54" s="124"/>
      <c r="E54" s="132"/>
      <c r="F54" s="133"/>
      <c r="G54" s="127" t="str">
        <f t="shared" si="4"/>
        <v/>
      </c>
      <c r="H54" s="128"/>
      <c r="I54" s="129" t="str">
        <f t="shared" si="1"/>
        <v/>
      </c>
      <c r="J54" s="129">
        <f t="shared" si="2"/>
        <v>0</v>
      </c>
    </row>
    <row r="55" spans="1:10" ht="15.75" customHeight="1">
      <c r="A55" s="122">
        <f t="shared" si="3"/>
        <v>46</v>
      </c>
      <c r="B55" s="130"/>
      <c r="C55" s="131"/>
      <c r="D55" s="124"/>
      <c r="E55" s="132"/>
      <c r="F55" s="133"/>
      <c r="G55" s="127" t="str">
        <f t="shared" si="4"/>
        <v/>
      </c>
      <c r="H55" s="128"/>
      <c r="I55" s="129" t="str">
        <f t="shared" si="1"/>
        <v/>
      </c>
      <c r="J55" s="129">
        <f t="shared" si="2"/>
        <v>0</v>
      </c>
    </row>
    <row r="56" spans="1:10" ht="15.75" customHeight="1">
      <c r="A56" s="122">
        <f t="shared" si="3"/>
        <v>47</v>
      </c>
      <c r="B56" s="130"/>
      <c r="C56" s="131"/>
      <c r="D56" s="124"/>
      <c r="E56" s="132"/>
      <c r="F56" s="133"/>
      <c r="G56" s="127" t="str">
        <f t="shared" si="4"/>
        <v/>
      </c>
      <c r="H56" s="128"/>
      <c r="I56" s="129" t="str">
        <f t="shared" si="1"/>
        <v/>
      </c>
      <c r="J56" s="129">
        <f t="shared" si="2"/>
        <v>0</v>
      </c>
    </row>
    <row r="57" spans="1:10" ht="15.75" customHeight="1">
      <c r="A57" s="122">
        <f t="shared" si="3"/>
        <v>48</v>
      </c>
      <c r="B57" s="130"/>
      <c r="C57" s="131"/>
      <c r="D57" s="124"/>
      <c r="E57" s="132"/>
      <c r="F57" s="133"/>
      <c r="G57" s="127" t="str">
        <f t="shared" si="4"/>
        <v/>
      </c>
      <c r="H57" s="128"/>
      <c r="I57" s="129" t="str">
        <f t="shared" si="1"/>
        <v/>
      </c>
      <c r="J57" s="129">
        <f t="shared" si="2"/>
        <v>0</v>
      </c>
    </row>
    <row r="58" spans="1:10" ht="15.75" customHeight="1">
      <c r="A58" s="122">
        <f t="shared" si="3"/>
        <v>49</v>
      </c>
      <c r="B58" s="130"/>
      <c r="C58" s="131"/>
      <c r="D58" s="124"/>
      <c r="E58" s="132"/>
      <c r="F58" s="133"/>
      <c r="G58" s="127" t="str">
        <f t="shared" si="4"/>
        <v/>
      </c>
      <c r="H58" s="128"/>
      <c r="I58" s="129" t="str">
        <f t="shared" si="1"/>
        <v/>
      </c>
      <c r="J58" s="129">
        <f t="shared" si="2"/>
        <v>0</v>
      </c>
    </row>
    <row r="59" spans="1:10" ht="15.75" customHeight="1">
      <c r="A59" s="122">
        <f t="shared" si="3"/>
        <v>50</v>
      </c>
      <c r="B59" s="130"/>
      <c r="C59" s="131"/>
      <c r="D59" s="124"/>
      <c r="E59" s="132"/>
      <c r="F59" s="133"/>
      <c r="G59" s="127" t="str">
        <f t="shared" si="4"/>
        <v/>
      </c>
      <c r="H59" s="128"/>
      <c r="I59" s="129" t="str">
        <f t="shared" si="1"/>
        <v/>
      </c>
      <c r="J59" s="129">
        <f t="shared" si="2"/>
        <v>0</v>
      </c>
    </row>
    <row r="60" spans="1:10" ht="15.75" customHeight="1">
      <c r="A60" s="122">
        <f t="shared" si="3"/>
        <v>51</v>
      </c>
      <c r="B60" s="130"/>
      <c r="C60" s="131"/>
      <c r="D60" s="124"/>
      <c r="E60" s="132"/>
      <c r="F60" s="133"/>
      <c r="G60" s="127" t="str">
        <f t="shared" si="4"/>
        <v/>
      </c>
      <c r="H60" s="128"/>
      <c r="I60" s="129" t="str">
        <f t="shared" si="1"/>
        <v/>
      </c>
      <c r="J60" s="129">
        <f t="shared" si="2"/>
        <v>0</v>
      </c>
    </row>
    <row r="61" spans="1:10" ht="15.75" customHeight="1">
      <c r="A61" s="122">
        <f t="shared" si="3"/>
        <v>52</v>
      </c>
      <c r="B61" s="130"/>
      <c r="C61" s="131"/>
      <c r="D61" s="124"/>
      <c r="E61" s="132"/>
      <c r="F61" s="133"/>
      <c r="G61" s="127" t="str">
        <f t="shared" si="4"/>
        <v/>
      </c>
      <c r="H61" s="128"/>
      <c r="I61" s="129" t="str">
        <f t="shared" si="1"/>
        <v/>
      </c>
      <c r="J61" s="129">
        <f t="shared" si="2"/>
        <v>0</v>
      </c>
    </row>
    <row r="62" spans="1:10" ht="15.75" customHeight="1">
      <c r="A62" s="122">
        <f t="shared" si="3"/>
        <v>53</v>
      </c>
      <c r="B62" s="130"/>
      <c r="C62" s="131"/>
      <c r="D62" s="124"/>
      <c r="E62" s="132"/>
      <c r="F62" s="133"/>
      <c r="G62" s="127" t="str">
        <f t="shared" si="4"/>
        <v/>
      </c>
      <c r="H62" s="128"/>
      <c r="I62" s="129" t="str">
        <f t="shared" si="1"/>
        <v/>
      </c>
      <c r="J62" s="129">
        <f t="shared" si="2"/>
        <v>0</v>
      </c>
    </row>
    <row r="63" spans="1:10" ht="15.75" customHeight="1">
      <c r="A63" s="122">
        <f t="shared" si="3"/>
        <v>54</v>
      </c>
      <c r="B63" s="130"/>
      <c r="C63" s="131"/>
      <c r="D63" s="124"/>
      <c r="E63" s="132"/>
      <c r="F63" s="133"/>
      <c r="G63" s="127" t="str">
        <f t="shared" si="4"/>
        <v/>
      </c>
      <c r="H63" s="128"/>
      <c r="I63" s="129" t="str">
        <f t="shared" si="1"/>
        <v/>
      </c>
      <c r="J63" s="129">
        <f t="shared" si="2"/>
        <v>0</v>
      </c>
    </row>
    <row r="64" spans="1:10" ht="15.75" customHeight="1">
      <c r="A64" s="122">
        <f t="shared" si="3"/>
        <v>55</v>
      </c>
      <c r="B64" s="130"/>
      <c r="C64" s="131"/>
      <c r="D64" s="124"/>
      <c r="E64" s="132"/>
      <c r="F64" s="133"/>
      <c r="G64" s="127" t="str">
        <f t="shared" si="4"/>
        <v/>
      </c>
      <c r="H64" s="128"/>
      <c r="I64" s="129" t="str">
        <f t="shared" si="1"/>
        <v/>
      </c>
      <c r="J64" s="129">
        <f t="shared" si="2"/>
        <v>0</v>
      </c>
    </row>
    <row r="65" spans="1:10" ht="15.75" customHeight="1">
      <c r="A65" s="122">
        <f t="shared" si="3"/>
        <v>56</v>
      </c>
      <c r="B65" s="130"/>
      <c r="C65" s="131"/>
      <c r="D65" s="124"/>
      <c r="E65" s="132"/>
      <c r="F65" s="133"/>
      <c r="G65" s="127" t="str">
        <f t="shared" si="4"/>
        <v/>
      </c>
      <c r="H65" s="128"/>
      <c r="I65" s="129" t="str">
        <f t="shared" si="1"/>
        <v/>
      </c>
      <c r="J65" s="129">
        <f t="shared" si="2"/>
        <v>0</v>
      </c>
    </row>
    <row r="66" spans="1:10" ht="15.75" customHeight="1">
      <c r="A66" s="122">
        <f t="shared" si="3"/>
        <v>57</v>
      </c>
      <c r="B66" s="130"/>
      <c r="C66" s="131"/>
      <c r="D66" s="124"/>
      <c r="E66" s="132"/>
      <c r="F66" s="133"/>
      <c r="G66" s="127" t="str">
        <f t="shared" si="4"/>
        <v/>
      </c>
      <c r="H66" s="128"/>
      <c r="I66" s="129" t="str">
        <f t="shared" si="1"/>
        <v/>
      </c>
      <c r="J66" s="129">
        <f t="shared" si="2"/>
        <v>0</v>
      </c>
    </row>
    <row r="67" spans="1:10" ht="15.75" customHeight="1">
      <c r="A67" s="122">
        <f t="shared" si="3"/>
        <v>58</v>
      </c>
      <c r="B67" s="130"/>
      <c r="C67" s="131"/>
      <c r="D67" s="124"/>
      <c r="E67" s="132"/>
      <c r="F67" s="133"/>
      <c r="G67" s="127" t="str">
        <f t="shared" si="4"/>
        <v/>
      </c>
      <c r="H67" s="128"/>
      <c r="I67" s="129" t="str">
        <f t="shared" si="1"/>
        <v/>
      </c>
      <c r="J67" s="129">
        <f t="shared" si="2"/>
        <v>0</v>
      </c>
    </row>
    <row r="68" spans="1:10" ht="15.75" customHeight="1">
      <c r="A68" s="122">
        <f t="shared" si="3"/>
        <v>59</v>
      </c>
      <c r="B68" s="130"/>
      <c r="C68" s="131"/>
      <c r="D68" s="124"/>
      <c r="E68" s="132"/>
      <c r="F68" s="133"/>
      <c r="G68" s="127" t="str">
        <f t="shared" si="4"/>
        <v/>
      </c>
      <c r="H68" s="128"/>
      <c r="I68" s="129" t="str">
        <f t="shared" si="1"/>
        <v/>
      </c>
      <c r="J68" s="129">
        <f t="shared" si="2"/>
        <v>0</v>
      </c>
    </row>
    <row r="69" spans="1:10" ht="15.75" customHeight="1">
      <c r="A69" s="122">
        <f t="shared" si="3"/>
        <v>60</v>
      </c>
      <c r="B69" s="130"/>
      <c r="C69" s="131"/>
      <c r="D69" s="124"/>
      <c r="E69" s="132"/>
      <c r="F69" s="133"/>
      <c r="G69" s="127" t="str">
        <f t="shared" si="4"/>
        <v/>
      </c>
      <c r="H69" s="128"/>
      <c r="I69" s="129" t="str">
        <f t="shared" si="1"/>
        <v/>
      </c>
      <c r="J69" s="129">
        <f t="shared" si="2"/>
        <v>0</v>
      </c>
    </row>
    <row r="70" spans="1:10" ht="15.75" customHeight="1">
      <c r="A70" s="122">
        <f t="shared" si="3"/>
        <v>61</v>
      </c>
      <c r="B70" s="130"/>
      <c r="C70" s="131"/>
      <c r="D70" s="124"/>
      <c r="E70" s="132"/>
      <c r="F70" s="133"/>
      <c r="G70" s="127" t="str">
        <f t="shared" si="4"/>
        <v/>
      </c>
      <c r="H70" s="128"/>
      <c r="I70" s="129" t="str">
        <f t="shared" si="1"/>
        <v/>
      </c>
      <c r="J70" s="129">
        <f t="shared" si="2"/>
        <v>0</v>
      </c>
    </row>
    <row r="71" spans="1:10" ht="15.75" customHeight="1">
      <c r="A71" s="122">
        <f t="shared" si="3"/>
        <v>62</v>
      </c>
      <c r="B71" s="130"/>
      <c r="C71" s="131"/>
      <c r="D71" s="124"/>
      <c r="E71" s="132"/>
      <c r="F71" s="133"/>
      <c r="G71" s="127" t="str">
        <f t="shared" si="4"/>
        <v/>
      </c>
      <c r="H71" s="128"/>
      <c r="I71" s="129" t="str">
        <f t="shared" si="1"/>
        <v/>
      </c>
      <c r="J71" s="129">
        <f t="shared" si="2"/>
        <v>0</v>
      </c>
    </row>
    <row r="72" spans="1:10" ht="15.75" customHeight="1">
      <c r="A72" s="122">
        <f t="shared" si="3"/>
        <v>63</v>
      </c>
      <c r="B72" s="130"/>
      <c r="C72" s="131"/>
      <c r="D72" s="124"/>
      <c r="E72" s="132"/>
      <c r="F72" s="133"/>
      <c r="G72" s="127" t="str">
        <f t="shared" si="4"/>
        <v/>
      </c>
      <c r="H72" s="128"/>
      <c r="I72" s="129" t="str">
        <f t="shared" si="1"/>
        <v/>
      </c>
      <c r="J72" s="129">
        <f t="shared" si="2"/>
        <v>0</v>
      </c>
    </row>
    <row r="73" spans="1:10" ht="15.75" customHeight="1">
      <c r="A73" s="122">
        <f t="shared" si="3"/>
        <v>64</v>
      </c>
      <c r="B73" s="130"/>
      <c r="C73" s="131"/>
      <c r="D73" s="124"/>
      <c r="E73" s="132"/>
      <c r="F73" s="133"/>
      <c r="G73" s="127" t="str">
        <f t="shared" si="4"/>
        <v/>
      </c>
      <c r="H73" s="128"/>
      <c r="I73" s="129" t="str">
        <f t="shared" si="1"/>
        <v/>
      </c>
      <c r="J73" s="129">
        <f t="shared" si="2"/>
        <v>0</v>
      </c>
    </row>
    <row r="74" spans="1:10" ht="15.75" customHeight="1">
      <c r="A74" s="122">
        <f t="shared" si="3"/>
        <v>65</v>
      </c>
      <c r="B74" s="130"/>
      <c r="C74" s="131"/>
      <c r="D74" s="124"/>
      <c r="E74" s="132"/>
      <c r="F74" s="133"/>
      <c r="G74" s="127" t="str">
        <f t="shared" si="4"/>
        <v/>
      </c>
      <c r="H74" s="128"/>
      <c r="I74" s="129" t="str">
        <f t="shared" si="1"/>
        <v/>
      </c>
      <c r="J74" s="129">
        <f t="shared" si="2"/>
        <v>0</v>
      </c>
    </row>
    <row r="75" spans="1:10" ht="15.75" customHeight="1">
      <c r="A75" s="122">
        <f t="shared" si="3"/>
        <v>66</v>
      </c>
      <c r="B75" s="130"/>
      <c r="C75" s="131"/>
      <c r="D75" s="124"/>
      <c r="E75" s="132"/>
      <c r="F75" s="133"/>
      <c r="G75" s="127" t="str">
        <f t="shared" si="4"/>
        <v/>
      </c>
      <c r="H75" s="128"/>
      <c r="I75" s="129" t="str">
        <f t="shared" si="1"/>
        <v/>
      </c>
      <c r="J75" s="129">
        <f t="shared" si="2"/>
        <v>0</v>
      </c>
    </row>
    <row r="76" spans="1:10" ht="15.75" customHeight="1">
      <c r="A76" s="122">
        <f t="shared" si="3"/>
        <v>67</v>
      </c>
      <c r="B76" s="130"/>
      <c r="C76" s="131"/>
      <c r="D76" s="124"/>
      <c r="E76" s="132"/>
      <c r="F76" s="133"/>
      <c r="G76" s="127" t="str">
        <f t="shared" si="4"/>
        <v/>
      </c>
      <c r="H76" s="128"/>
      <c r="I76" s="129" t="str">
        <f t="shared" si="1"/>
        <v/>
      </c>
      <c r="J76" s="129">
        <f t="shared" si="2"/>
        <v>0</v>
      </c>
    </row>
    <row r="77" spans="1:10" ht="15.75" customHeight="1">
      <c r="A77" s="122">
        <f t="shared" si="3"/>
        <v>68</v>
      </c>
      <c r="B77" s="130"/>
      <c r="C77" s="131"/>
      <c r="D77" s="124"/>
      <c r="E77" s="132"/>
      <c r="F77" s="133"/>
      <c r="G77" s="127" t="str">
        <f t="shared" si="4"/>
        <v/>
      </c>
      <c r="H77" s="128"/>
      <c r="I77" s="129" t="str">
        <f t="shared" si="1"/>
        <v/>
      </c>
      <c r="J77" s="129">
        <f t="shared" si="2"/>
        <v>0</v>
      </c>
    </row>
    <row r="78" spans="1:10" ht="15.75" customHeight="1">
      <c r="A78" s="122">
        <f t="shared" si="3"/>
        <v>69</v>
      </c>
      <c r="B78" s="130"/>
      <c r="C78" s="131"/>
      <c r="D78" s="124"/>
      <c r="E78" s="132"/>
      <c r="F78" s="133"/>
      <c r="G78" s="127" t="str">
        <f t="shared" si="4"/>
        <v/>
      </c>
      <c r="H78" s="128"/>
      <c r="I78" s="129" t="str">
        <f t="shared" si="1"/>
        <v/>
      </c>
      <c r="J78" s="129">
        <f t="shared" si="2"/>
        <v>0</v>
      </c>
    </row>
    <row r="79" spans="1:10" ht="15.75" customHeight="1">
      <c r="A79" s="122">
        <f t="shared" si="3"/>
        <v>70</v>
      </c>
      <c r="B79" s="130"/>
      <c r="C79" s="131"/>
      <c r="D79" s="124"/>
      <c r="E79" s="132"/>
      <c r="F79" s="133"/>
      <c r="G79" s="127" t="str">
        <f t="shared" si="4"/>
        <v/>
      </c>
      <c r="H79" s="128"/>
      <c r="I79" s="129" t="str">
        <f t="shared" si="1"/>
        <v/>
      </c>
      <c r="J79" s="129">
        <f t="shared" si="2"/>
        <v>0</v>
      </c>
    </row>
    <row r="80" spans="1:10" ht="15.75" customHeight="1">
      <c r="A80" s="122">
        <f t="shared" si="3"/>
        <v>71</v>
      </c>
      <c r="B80" s="130"/>
      <c r="C80" s="131"/>
      <c r="D80" s="124"/>
      <c r="E80" s="132"/>
      <c r="F80" s="133"/>
      <c r="G80" s="127" t="str">
        <f t="shared" si="4"/>
        <v/>
      </c>
      <c r="H80" s="128"/>
      <c r="I80" s="129" t="str">
        <f t="shared" si="1"/>
        <v/>
      </c>
      <c r="J80" s="129">
        <f t="shared" si="2"/>
        <v>0</v>
      </c>
    </row>
    <row r="81" spans="1:10" ht="15.75" customHeight="1">
      <c r="A81" s="122">
        <f t="shared" si="3"/>
        <v>72</v>
      </c>
      <c r="B81" s="130"/>
      <c r="C81" s="131"/>
      <c r="D81" s="124"/>
      <c r="E81" s="132"/>
      <c r="F81" s="133"/>
      <c r="G81" s="127" t="str">
        <f t="shared" si="4"/>
        <v/>
      </c>
      <c r="H81" s="128"/>
      <c r="I81" s="129" t="str">
        <f t="shared" si="1"/>
        <v/>
      </c>
      <c r="J81" s="129">
        <f t="shared" si="2"/>
        <v>0</v>
      </c>
    </row>
    <row r="82" spans="1:10" ht="15.75" customHeight="1">
      <c r="A82" s="122">
        <f t="shared" si="3"/>
        <v>73</v>
      </c>
      <c r="B82" s="130"/>
      <c r="C82" s="131"/>
      <c r="D82" s="124"/>
      <c r="E82" s="132"/>
      <c r="F82" s="133"/>
      <c r="G82" s="127" t="str">
        <f t="shared" si="4"/>
        <v/>
      </c>
      <c r="H82" s="128"/>
      <c r="I82" s="129" t="str">
        <f t="shared" si="1"/>
        <v/>
      </c>
      <c r="J82" s="129">
        <f t="shared" si="2"/>
        <v>0</v>
      </c>
    </row>
    <row r="83" spans="1:10" ht="15.75" customHeight="1">
      <c r="A83" s="122">
        <f t="shared" si="3"/>
        <v>74</v>
      </c>
      <c r="B83" s="130"/>
      <c r="C83" s="131"/>
      <c r="D83" s="124"/>
      <c r="E83" s="132"/>
      <c r="F83" s="133"/>
      <c r="G83" s="127" t="str">
        <f t="shared" si="4"/>
        <v/>
      </c>
      <c r="H83" s="128"/>
      <c r="I83" s="129" t="str">
        <f t="shared" si="1"/>
        <v/>
      </c>
      <c r="J83" s="129">
        <f t="shared" si="2"/>
        <v>0</v>
      </c>
    </row>
    <row r="84" spans="1:10" ht="15.75" customHeight="1">
      <c r="A84" s="122">
        <f t="shared" si="3"/>
        <v>75</v>
      </c>
      <c r="B84" s="130"/>
      <c r="C84" s="131"/>
      <c r="D84" s="124"/>
      <c r="E84" s="132"/>
      <c r="F84" s="133"/>
      <c r="G84" s="127" t="str">
        <f t="shared" si="4"/>
        <v/>
      </c>
      <c r="H84" s="128"/>
      <c r="I84" s="129" t="str">
        <f t="shared" si="1"/>
        <v/>
      </c>
      <c r="J84" s="129">
        <f t="shared" si="2"/>
        <v>0</v>
      </c>
    </row>
    <row r="85" spans="1:10" ht="15.75" customHeight="1">
      <c r="A85" s="122">
        <f t="shared" si="3"/>
        <v>76</v>
      </c>
      <c r="B85" s="130"/>
      <c r="C85" s="131"/>
      <c r="D85" s="124"/>
      <c r="E85" s="132"/>
      <c r="F85" s="133"/>
      <c r="G85" s="127" t="str">
        <f t="shared" si="4"/>
        <v/>
      </c>
      <c r="H85" s="128"/>
      <c r="I85" s="129" t="str">
        <f t="shared" si="1"/>
        <v/>
      </c>
      <c r="J85" s="129">
        <f t="shared" si="2"/>
        <v>0</v>
      </c>
    </row>
    <row r="86" spans="1:10" ht="15.75" customHeight="1">
      <c r="A86" s="122">
        <f t="shared" si="3"/>
        <v>77</v>
      </c>
      <c r="B86" s="130"/>
      <c r="C86" s="131"/>
      <c r="D86" s="124"/>
      <c r="E86" s="132"/>
      <c r="F86" s="133"/>
      <c r="G86" s="127" t="str">
        <f t="shared" si="4"/>
        <v/>
      </c>
      <c r="H86" s="128"/>
      <c r="I86" s="129" t="str">
        <f t="shared" si="1"/>
        <v/>
      </c>
      <c r="J86" s="129">
        <f t="shared" si="2"/>
        <v>0</v>
      </c>
    </row>
    <row r="87" spans="1:10" ht="15.75" customHeight="1">
      <c r="A87" s="122">
        <f t="shared" si="3"/>
        <v>78</v>
      </c>
      <c r="B87" s="130"/>
      <c r="C87" s="131"/>
      <c r="D87" s="124"/>
      <c r="E87" s="132"/>
      <c r="F87" s="133"/>
      <c r="G87" s="127" t="str">
        <f t="shared" si="4"/>
        <v/>
      </c>
      <c r="H87" s="128"/>
      <c r="I87" s="129" t="str">
        <f t="shared" si="1"/>
        <v/>
      </c>
      <c r="J87" s="129">
        <f t="shared" si="2"/>
        <v>0</v>
      </c>
    </row>
    <row r="88" spans="1:10" ht="15.75" customHeight="1">
      <c r="A88" s="122">
        <f t="shared" si="3"/>
        <v>79</v>
      </c>
      <c r="B88" s="130"/>
      <c r="C88" s="131"/>
      <c r="D88" s="124"/>
      <c r="E88" s="132"/>
      <c r="F88" s="133"/>
      <c r="G88" s="127" t="str">
        <f t="shared" si="4"/>
        <v/>
      </c>
      <c r="H88" s="128"/>
      <c r="I88" s="129" t="str">
        <f t="shared" si="1"/>
        <v/>
      </c>
      <c r="J88" s="129">
        <f t="shared" si="2"/>
        <v>0</v>
      </c>
    </row>
    <row r="89" spans="1:10" ht="15.75" customHeight="1">
      <c r="A89" s="122">
        <f t="shared" si="3"/>
        <v>80</v>
      </c>
      <c r="B89" s="130"/>
      <c r="C89" s="131"/>
      <c r="D89" s="124"/>
      <c r="E89" s="132"/>
      <c r="F89" s="133"/>
      <c r="G89" s="127" t="str">
        <f t="shared" si="4"/>
        <v/>
      </c>
      <c r="H89" s="128"/>
      <c r="I89" s="129" t="str">
        <f t="shared" si="1"/>
        <v/>
      </c>
      <c r="J89" s="129">
        <f t="shared" si="2"/>
        <v>0</v>
      </c>
    </row>
    <row r="90" spans="1:10" ht="15.75" customHeight="1">
      <c r="A90" s="122">
        <f t="shared" si="3"/>
        <v>81</v>
      </c>
      <c r="B90" s="130"/>
      <c r="C90" s="131"/>
      <c r="D90" s="124"/>
      <c r="E90" s="132"/>
      <c r="F90" s="133"/>
      <c r="G90" s="127" t="str">
        <f t="shared" si="4"/>
        <v/>
      </c>
      <c r="H90" s="128"/>
      <c r="I90" s="129" t="str">
        <f t="shared" si="1"/>
        <v/>
      </c>
      <c r="J90" s="129">
        <f t="shared" si="2"/>
        <v>0</v>
      </c>
    </row>
    <row r="91" spans="1:10" ht="15.75" customHeight="1">
      <c r="A91" s="122">
        <f t="shared" si="3"/>
        <v>82</v>
      </c>
      <c r="B91" s="130"/>
      <c r="C91" s="131"/>
      <c r="D91" s="124"/>
      <c r="E91" s="132"/>
      <c r="F91" s="133"/>
      <c r="G91" s="127" t="str">
        <f t="shared" si="4"/>
        <v/>
      </c>
      <c r="H91" s="128"/>
      <c r="I91" s="129" t="str">
        <f t="shared" si="1"/>
        <v/>
      </c>
      <c r="J91" s="129">
        <f t="shared" si="2"/>
        <v>0</v>
      </c>
    </row>
    <row r="92" spans="1:10" ht="15.75" customHeight="1">
      <c r="A92" s="122">
        <f t="shared" si="3"/>
        <v>83</v>
      </c>
      <c r="B92" s="130"/>
      <c r="C92" s="131"/>
      <c r="D92" s="124"/>
      <c r="E92" s="132"/>
      <c r="F92" s="133"/>
      <c r="G92" s="127" t="str">
        <f t="shared" si="4"/>
        <v/>
      </c>
      <c r="H92" s="128"/>
      <c r="I92" s="129" t="str">
        <f t="shared" si="1"/>
        <v/>
      </c>
      <c r="J92" s="129">
        <f t="shared" si="2"/>
        <v>0</v>
      </c>
    </row>
    <row r="93" spans="1:10" ht="15.75" customHeight="1">
      <c r="A93" s="122">
        <f t="shared" si="3"/>
        <v>84</v>
      </c>
      <c r="B93" s="130"/>
      <c r="C93" s="131"/>
      <c r="D93" s="124"/>
      <c r="E93" s="132"/>
      <c r="F93" s="133"/>
      <c r="G93" s="127" t="str">
        <f t="shared" si="4"/>
        <v/>
      </c>
      <c r="H93" s="128"/>
      <c r="I93" s="129" t="str">
        <f t="shared" si="1"/>
        <v/>
      </c>
      <c r="J93" s="129">
        <f t="shared" si="2"/>
        <v>0</v>
      </c>
    </row>
    <row r="94" spans="1:10" ht="15.75" customHeight="1">
      <c r="A94" s="122">
        <f t="shared" si="3"/>
        <v>85</v>
      </c>
      <c r="B94" s="130"/>
      <c r="C94" s="131"/>
      <c r="D94" s="124"/>
      <c r="E94" s="132"/>
      <c r="F94" s="133"/>
      <c r="G94" s="127" t="str">
        <f t="shared" si="4"/>
        <v/>
      </c>
      <c r="H94" s="128"/>
      <c r="I94" s="129" t="str">
        <f t="shared" si="1"/>
        <v/>
      </c>
      <c r="J94" s="129">
        <f t="shared" si="2"/>
        <v>0</v>
      </c>
    </row>
    <row r="95" spans="1:10" ht="15.75" customHeight="1">
      <c r="A95" s="122">
        <f t="shared" si="3"/>
        <v>86</v>
      </c>
      <c r="B95" s="130"/>
      <c r="C95" s="131"/>
      <c r="D95" s="124"/>
      <c r="E95" s="132"/>
      <c r="F95" s="133"/>
      <c r="G95" s="127" t="str">
        <f t="shared" si="4"/>
        <v/>
      </c>
      <c r="H95" s="128"/>
      <c r="I95" s="129" t="str">
        <f t="shared" si="1"/>
        <v/>
      </c>
      <c r="J95" s="129">
        <f t="shared" si="2"/>
        <v>0</v>
      </c>
    </row>
    <row r="96" spans="1:10" ht="15.75" customHeight="1">
      <c r="A96" s="122">
        <f t="shared" si="3"/>
        <v>87</v>
      </c>
      <c r="B96" s="130"/>
      <c r="C96" s="131"/>
      <c r="D96" s="124"/>
      <c r="E96" s="132"/>
      <c r="F96" s="133"/>
      <c r="G96" s="127" t="str">
        <f t="shared" si="4"/>
        <v/>
      </c>
      <c r="H96" s="128"/>
      <c r="I96" s="129" t="str">
        <f t="shared" si="1"/>
        <v/>
      </c>
      <c r="J96" s="129">
        <f t="shared" si="2"/>
        <v>0</v>
      </c>
    </row>
    <row r="97" spans="1:10" ht="15.75" customHeight="1">
      <c r="A97" s="122">
        <f t="shared" si="3"/>
        <v>88</v>
      </c>
      <c r="B97" s="130"/>
      <c r="C97" s="131"/>
      <c r="D97" s="124"/>
      <c r="E97" s="132"/>
      <c r="F97" s="133"/>
      <c r="G97" s="127" t="str">
        <f t="shared" si="4"/>
        <v/>
      </c>
      <c r="H97" s="128"/>
      <c r="I97" s="129" t="str">
        <f t="shared" si="1"/>
        <v/>
      </c>
      <c r="J97" s="129">
        <f t="shared" si="2"/>
        <v>0</v>
      </c>
    </row>
    <row r="98" spans="1:10" ht="15.75" customHeight="1">
      <c r="A98" s="122">
        <f t="shared" si="3"/>
        <v>89</v>
      </c>
      <c r="B98" s="130"/>
      <c r="C98" s="131"/>
      <c r="D98" s="124"/>
      <c r="E98" s="132"/>
      <c r="F98" s="133"/>
      <c r="G98" s="127" t="str">
        <f t="shared" si="4"/>
        <v/>
      </c>
      <c r="H98" s="128"/>
      <c r="I98" s="129" t="str">
        <f t="shared" si="1"/>
        <v/>
      </c>
      <c r="J98" s="129">
        <f t="shared" si="2"/>
        <v>0</v>
      </c>
    </row>
    <row r="99" spans="1:10" ht="15.75" customHeight="1">
      <c r="A99" s="122">
        <f t="shared" si="3"/>
        <v>90</v>
      </c>
      <c r="B99" s="130"/>
      <c r="C99" s="131"/>
      <c r="D99" s="124"/>
      <c r="E99" s="132"/>
      <c r="F99" s="133"/>
      <c r="G99" s="127" t="str">
        <f t="shared" si="4"/>
        <v/>
      </c>
      <c r="H99" s="128"/>
      <c r="I99" s="129" t="str">
        <f t="shared" si="1"/>
        <v/>
      </c>
      <c r="J99" s="129">
        <f t="shared" si="2"/>
        <v>0</v>
      </c>
    </row>
    <row r="100" spans="1:10" ht="15.75" customHeight="1">
      <c r="A100" s="122">
        <f t="shared" si="3"/>
        <v>91</v>
      </c>
      <c r="B100" s="130"/>
      <c r="C100" s="131"/>
      <c r="D100" s="124"/>
      <c r="E100" s="132"/>
      <c r="F100" s="133"/>
      <c r="G100" s="127" t="str">
        <f t="shared" si="4"/>
        <v/>
      </c>
      <c r="H100" s="128"/>
      <c r="I100" s="129" t="str">
        <f t="shared" si="1"/>
        <v/>
      </c>
      <c r="J100" s="129">
        <f t="shared" si="2"/>
        <v>0</v>
      </c>
    </row>
    <row r="101" spans="1:10" ht="15.75" customHeight="1">
      <c r="A101" s="122">
        <f t="shared" si="3"/>
        <v>92</v>
      </c>
      <c r="B101" s="130"/>
      <c r="C101" s="131"/>
      <c r="D101" s="124"/>
      <c r="E101" s="132"/>
      <c r="F101" s="133"/>
      <c r="G101" s="127" t="str">
        <f t="shared" si="4"/>
        <v/>
      </c>
      <c r="H101" s="128"/>
      <c r="I101" s="129" t="str">
        <f t="shared" si="1"/>
        <v/>
      </c>
      <c r="J101" s="129">
        <f t="shared" si="2"/>
        <v>0</v>
      </c>
    </row>
    <row r="102" spans="1:10" ht="15.75" customHeight="1">
      <c r="A102" s="122">
        <f t="shared" si="3"/>
        <v>93</v>
      </c>
      <c r="B102" s="130"/>
      <c r="C102" s="131"/>
      <c r="D102" s="124"/>
      <c r="E102" s="132"/>
      <c r="F102" s="133"/>
      <c r="G102" s="127" t="str">
        <f t="shared" si="4"/>
        <v/>
      </c>
      <c r="H102" s="128"/>
      <c r="I102" s="129" t="str">
        <f t="shared" si="1"/>
        <v/>
      </c>
      <c r="J102" s="129">
        <f t="shared" si="2"/>
        <v>0</v>
      </c>
    </row>
    <row r="103" spans="1:10" ht="15.75" customHeight="1">
      <c r="A103" s="122">
        <f t="shared" si="3"/>
        <v>94</v>
      </c>
      <c r="B103" s="130"/>
      <c r="C103" s="131"/>
      <c r="D103" s="124"/>
      <c r="E103" s="132"/>
      <c r="F103" s="133"/>
      <c r="G103" s="127" t="str">
        <f t="shared" si="4"/>
        <v/>
      </c>
      <c r="H103" s="128"/>
      <c r="I103" s="129" t="str">
        <f t="shared" si="1"/>
        <v/>
      </c>
      <c r="J103" s="129">
        <f t="shared" si="2"/>
        <v>0</v>
      </c>
    </row>
    <row r="104" spans="1:10" ht="15.75" customHeight="1">
      <c r="A104" s="122">
        <f t="shared" si="3"/>
        <v>95</v>
      </c>
      <c r="B104" s="130"/>
      <c r="C104" s="131"/>
      <c r="D104" s="124"/>
      <c r="E104" s="132"/>
      <c r="F104" s="133"/>
      <c r="G104" s="127" t="str">
        <f t="shared" si="4"/>
        <v/>
      </c>
      <c r="H104" s="128"/>
      <c r="I104" s="129" t="str">
        <f t="shared" si="1"/>
        <v/>
      </c>
      <c r="J104" s="129">
        <f t="shared" si="2"/>
        <v>0</v>
      </c>
    </row>
    <row r="105" spans="1:10" ht="15.75" customHeight="1">
      <c r="A105" s="122">
        <f t="shared" si="3"/>
        <v>96</v>
      </c>
      <c r="B105" s="130"/>
      <c r="C105" s="131"/>
      <c r="D105" s="124"/>
      <c r="E105" s="132"/>
      <c r="F105" s="133"/>
      <c r="G105" s="127" t="str">
        <f t="shared" si="4"/>
        <v/>
      </c>
      <c r="H105" s="128"/>
      <c r="I105" s="129" t="str">
        <f t="shared" si="1"/>
        <v/>
      </c>
      <c r="J105" s="129">
        <f t="shared" si="2"/>
        <v>0</v>
      </c>
    </row>
    <row r="106" spans="1:10" ht="15.75" customHeight="1">
      <c r="A106" s="122">
        <f t="shared" si="3"/>
        <v>97</v>
      </c>
      <c r="B106" s="130"/>
      <c r="C106" s="131"/>
      <c r="D106" s="124"/>
      <c r="E106" s="132"/>
      <c r="F106" s="133"/>
      <c r="G106" s="127" t="str">
        <f t="shared" si="4"/>
        <v/>
      </c>
      <c r="H106" s="128"/>
      <c r="I106" s="129" t="str">
        <f t="shared" si="1"/>
        <v/>
      </c>
      <c r="J106" s="129">
        <f t="shared" si="2"/>
        <v>0</v>
      </c>
    </row>
    <row r="107" spans="1:10" ht="15.75" customHeight="1">
      <c r="A107" s="122">
        <f t="shared" si="3"/>
        <v>98</v>
      </c>
      <c r="B107" s="130"/>
      <c r="C107" s="131"/>
      <c r="D107" s="124"/>
      <c r="E107" s="132"/>
      <c r="F107" s="133"/>
      <c r="G107" s="127" t="str">
        <f t="shared" si="4"/>
        <v/>
      </c>
      <c r="H107" s="128"/>
      <c r="I107" s="129" t="str">
        <f t="shared" si="1"/>
        <v/>
      </c>
      <c r="J107" s="129">
        <f t="shared" si="2"/>
        <v>0</v>
      </c>
    </row>
    <row r="108" spans="1:10" ht="15.75" customHeight="1">
      <c r="A108" s="122">
        <f t="shared" si="3"/>
        <v>99</v>
      </c>
      <c r="B108" s="130"/>
      <c r="C108" s="131"/>
      <c r="D108" s="124"/>
      <c r="E108" s="132"/>
      <c r="F108" s="133"/>
      <c r="G108" s="127" t="str">
        <f t="shared" si="4"/>
        <v/>
      </c>
      <c r="H108" s="128"/>
      <c r="I108" s="129" t="str">
        <f t="shared" si="1"/>
        <v/>
      </c>
      <c r="J108" s="129">
        <f t="shared" si="2"/>
        <v>0</v>
      </c>
    </row>
    <row r="109" spans="1:10" ht="15.75" customHeight="1">
      <c r="A109" s="122">
        <f t="shared" si="3"/>
        <v>100</v>
      </c>
      <c r="B109" s="134"/>
      <c r="C109" s="135"/>
      <c r="D109" s="124"/>
      <c r="E109" s="136"/>
      <c r="F109" s="137"/>
      <c r="G109" s="119" t="str">
        <f t="shared" si="4"/>
        <v/>
      </c>
      <c r="H109" s="138"/>
      <c r="I109" s="139" t="str">
        <f t="shared" si="1"/>
        <v/>
      </c>
      <c r="J109" s="139">
        <f t="shared" si="2"/>
        <v>0</v>
      </c>
    </row>
    <row r="110" spans="1:10" ht="15.75" customHeight="1">
      <c r="A110" s="2"/>
      <c r="B110" s="140" t="s">
        <v>220</v>
      </c>
      <c r="C110" s="141"/>
      <c r="D110" s="142"/>
      <c r="E110" s="143">
        <f>SUM(E10:E109)</f>
        <v>242275</v>
      </c>
      <c r="F110" s="2"/>
      <c r="H110" s="2"/>
      <c r="I110" s="2"/>
    </row>
    <row r="111" spans="1:10" ht="15.75" customHeight="1">
      <c r="A111" s="2"/>
      <c r="C111" s="2"/>
      <c r="D111" s="2"/>
      <c r="E111" s="3"/>
      <c r="F111" s="2"/>
      <c r="H111" s="2"/>
      <c r="I111" s="2"/>
    </row>
    <row r="112" spans="1:10" ht="15.75" customHeight="1">
      <c r="A112" s="2"/>
      <c r="C112" s="2"/>
      <c r="D112" s="2"/>
      <c r="E112" s="3"/>
      <c r="F112" s="2"/>
      <c r="H112" s="2"/>
      <c r="I112" s="2"/>
    </row>
    <row r="113" spans="1:9" ht="15.75" customHeight="1">
      <c r="A113" s="2"/>
      <c r="C113" s="2"/>
      <c r="D113" s="2"/>
      <c r="E113" s="3"/>
      <c r="F113" s="2"/>
      <c r="H113" s="2"/>
      <c r="I113" s="2"/>
    </row>
    <row r="114" spans="1:9" ht="15.75" customHeight="1">
      <c r="A114" s="2"/>
      <c r="B114" s="122" t="s">
        <v>266</v>
      </c>
      <c r="C114" s="2"/>
      <c r="D114" s="2"/>
      <c r="E114" s="3"/>
      <c r="F114" s="2"/>
      <c r="H114" s="2"/>
      <c r="I114" s="2"/>
    </row>
    <row r="115" spans="1:9" ht="15.75" customHeight="1">
      <c r="A115" s="2"/>
      <c r="B115" s="2">
        <v>1</v>
      </c>
      <c r="C115" s="144">
        <f>SUMIF($B$10:$B$109,B115,$E$10:$E$109)</f>
        <v>242275</v>
      </c>
      <c r="D115" s="2"/>
      <c r="E115" s="3"/>
      <c r="F115" s="2"/>
      <c r="H115" s="2"/>
      <c r="I115" s="2"/>
    </row>
    <row r="116" spans="1:9" ht="15.75" customHeight="1">
      <c r="A116" s="2"/>
      <c r="B116" s="2">
        <f t="shared" ref="B116:B126" si="5">B115+1</f>
        <v>2</v>
      </c>
      <c r="C116" s="144">
        <f t="shared" ref="C116:C126" si="6">SUMIF($B$10:$B$109,B116,$E$10:$E$109)</f>
        <v>0</v>
      </c>
      <c r="D116" s="2"/>
      <c r="E116" s="3"/>
      <c r="F116" s="2"/>
      <c r="H116" s="2"/>
      <c r="I116" s="2"/>
    </row>
    <row r="117" spans="1:9" ht="15.75" customHeight="1">
      <c r="A117" s="2"/>
      <c r="B117" s="2">
        <f t="shared" si="5"/>
        <v>3</v>
      </c>
      <c r="C117" s="144">
        <f t="shared" si="6"/>
        <v>0</v>
      </c>
      <c r="D117" s="2"/>
      <c r="E117" s="3"/>
      <c r="F117" s="2"/>
      <c r="H117" s="2"/>
      <c r="I117" s="2"/>
    </row>
    <row r="118" spans="1:9" ht="15.75" customHeight="1">
      <c r="A118" s="2"/>
      <c r="B118" s="2">
        <f t="shared" si="5"/>
        <v>4</v>
      </c>
      <c r="C118" s="144">
        <f t="shared" si="6"/>
        <v>0</v>
      </c>
      <c r="D118" s="2"/>
      <c r="E118" s="3"/>
      <c r="F118" s="2"/>
      <c r="H118" s="2"/>
      <c r="I118" s="2"/>
    </row>
    <row r="119" spans="1:9" ht="15.75" customHeight="1">
      <c r="A119" s="2"/>
      <c r="B119" s="2">
        <f t="shared" si="5"/>
        <v>5</v>
      </c>
      <c r="C119" s="144">
        <f t="shared" si="6"/>
        <v>0</v>
      </c>
      <c r="D119" s="2"/>
      <c r="E119" s="3"/>
      <c r="F119" s="2"/>
      <c r="H119" s="2"/>
      <c r="I119" s="2"/>
    </row>
    <row r="120" spans="1:9" ht="15.75" customHeight="1">
      <c r="A120" s="2"/>
      <c r="B120" s="2">
        <f t="shared" si="5"/>
        <v>6</v>
      </c>
      <c r="C120" s="144">
        <f t="shared" si="6"/>
        <v>0</v>
      </c>
      <c r="D120" s="2"/>
      <c r="E120" s="3"/>
      <c r="F120" s="2"/>
      <c r="H120" s="2"/>
      <c r="I120" s="2"/>
    </row>
    <row r="121" spans="1:9" ht="15.75" customHeight="1">
      <c r="A121" s="2"/>
      <c r="B121" s="2">
        <f t="shared" si="5"/>
        <v>7</v>
      </c>
      <c r="C121" s="144">
        <f t="shared" si="6"/>
        <v>0</v>
      </c>
      <c r="D121" s="2"/>
      <c r="E121" s="3"/>
      <c r="F121" s="2"/>
      <c r="H121" s="2"/>
      <c r="I121" s="2"/>
    </row>
    <row r="122" spans="1:9" ht="15.75" customHeight="1">
      <c r="A122" s="2"/>
      <c r="B122" s="2">
        <f t="shared" si="5"/>
        <v>8</v>
      </c>
      <c r="C122" s="144">
        <f t="shared" si="6"/>
        <v>0</v>
      </c>
      <c r="D122" s="2"/>
      <c r="E122" s="3"/>
      <c r="F122" s="2"/>
      <c r="H122" s="2"/>
      <c r="I122" s="2"/>
    </row>
    <row r="123" spans="1:9" ht="15.75" customHeight="1">
      <c r="A123" s="2"/>
      <c r="B123" s="2">
        <f t="shared" si="5"/>
        <v>9</v>
      </c>
      <c r="C123" s="144">
        <f t="shared" si="6"/>
        <v>0</v>
      </c>
      <c r="D123" s="2"/>
      <c r="E123" s="3"/>
      <c r="F123" s="2"/>
      <c r="H123" s="2"/>
      <c r="I123" s="2"/>
    </row>
    <row r="124" spans="1:9" ht="15.75" customHeight="1">
      <c r="A124" s="2"/>
      <c r="B124" s="2">
        <f t="shared" si="5"/>
        <v>10</v>
      </c>
      <c r="C124" s="144">
        <f t="shared" si="6"/>
        <v>0</v>
      </c>
      <c r="D124" s="2"/>
      <c r="E124" s="3"/>
      <c r="F124" s="2"/>
      <c r="H124" s="2"/>
      <c r="I124" s="2"/>
    </row>
    <row r="125" spans="1:9" ht="15.75" customHeight="1">
      <c r="A125" s="2"/>
      <c r="B125" s="2">
        <f t="shared" si="5"/>
        <v>11</v>
      </c>
      <c r="C125" s="144">
        <f t="shared" si="6"/>
        <v>0</v>
      </c>
      <c r="D125" s="2"/>
      <c r="E125" s="3"/>
      <c r="F125" s="2"/>
      <c r="H125" s="2"/>
      <c r="I125" s="2"/>
    </row>
    <row r="126" spans="1:9" ht="15.75" customHeight="1">
      <c r="A126" s="2"/>
      <c r="B126" s="2">
        <f t="shared" si="5"/>
        <v>12</v>
      </c>
      <c r="C126" s="144">
        <f t="shared" si="6"/>
        <v>0</v>
      </c>
      <c r="D126" s="2"/>
      <c r="E126" s="3"/>
      <c r="F126" s="2"/>
      <c r="H126" s="2"/>
      <c r="I126" s="2"/>
    </row>
    <row r="127" spans="1:9" ht="15.75" customHeight="1">
      <c r="A127" s="2"/>
      <c r="B127" s="145" t="s">
        <v>267</v>
      </c>
      <c r="C127" s="145">
        <f>SUM(C115:C126)</f>
        <v>242275</v>
      </c>
      <c r="D127" s="2"/>
      <c r="E127" s="3"/>
      <c r="F127" s="2"/>
      <c r="H127" s="2"/>
      <c r="I127" s="2"/>
    </row>
    <row r="128" spans="1:9" ht="15.75" customHeight="1">
      <c r="A128" s="2"/>
      <c r="C128" s="144"/>
      <c r="D128" s="2"/>
      <c r="E128" s="3"/>
      <c r="F128" s="2"/>
      <c r="H128" s="2"/>
      <c r="I128" s="2"/>
    </row>
    <row r="129" spans="1:9" ht="15.75" customHeight="1">
      <c r="A129" s="2"/>
      <c r="B129" s="2">
        <f>B126+1</f>
        <v>13</v>
      </c>
      <c r="C129" s="144">
        <f t="shared" ref="C129:C140" si="7">SUMIF($B$10:$B$109,B129,$E$10:$E$109)</f>
        <v>0</v>
      </c>
      <c r="D129" s="2"/>
      <c r="E129" s="3"/>
      <c r="F129" s="2"/>
      <c r="H129" s="2"/>
      <c r="I129" s="2"/>
    </row>
    <row r="130" spans="1:9" ht="15.75" customHeight="1">
      <c r="A130" s="2"/>
      <c r="B130" s="2">
        <f t="shared" ref="B130:B140" si="8">B129+1</f>
        <v>14</v>
      </c>
      <c r="C130" s="144">
        <f t="shared" si="7"/>
        <v>0</v>
      </c>
      <c r="D130" s="2"/>
      <c r="E130" s="3"/>
      <c r="F130" s="2"/>
      <c r="H130" s="2"/>
      <c r="I130" s="2"/>
    </row>
    <row r="131" spans="1:9" ht="15.75" customHeight="1">
      <c r="A131" s="2"/>
      <c r="B131" s="2">
        <f t="shared" si="8"/>
        <v>15</v>
      </c>
      <c r="C131" s="144">
        <f t="shared" si="7"/>
        <v>0</v>
      </c>
      <c r="D131" s="2"/>
      <c r="E131" s="3"/>
      <c r="F131" s="2"/>
      <c r="H131" s="2"/>
      <c r="I131" s="2"/>
    </row>
    <row r="132" spans="1:9" ht="15.75" customHeight="1">
      <c r="A132" s="2"/>
      <c r="B132" s="2">
        <f t="shared" si="8"/>
        <v>16</v>
      </c>
      <c r="C132" s="144">
        <f t="shared" si="7"/>
        <v>0</v>
      </c>
      <c r="D132" s="2"/>
      <c r="E132" s="3"/>
      <c r="F132" s="2"/>
      <c r="H132" s="2"/>
      <c r="I132" s="2"/>
    </row>
    <row r="133" spans="1:9" ht="15.75" customHeight="1">
      <c r="A133" s="2"/>
      <c r="B133" s="2">
        <f t="shared" si="8"/>
        <v>17</v>
      </c>
      <c r="C133" s="144">
        <f t="shared" si="7"/>
        <v>0</v>
      </c>
      <c r="D133" s="2"/>
      <c r="E133" s="3"/>
      <c r="F133" s="2"/>
      <c r="H133" s="2"/>
      <c r="I133" s="2"/>
    </row>
    <row r="134" spans="1:9" ht="15.75" customHeight="1">
      <c r="A134" s="2"/>
      <c r="B134" s="2">
        <f t="shared" si="8"/>
        <v>18</v>
      </c>
      <c r="C134" s="144">
        <f t="shared" si="7"/>
        <v>0</v>
      </c>
      <c r="D134" s="2"/>
      <c r="E134" s="3"/>
      <c r="F134" s="2"/>
      <c r="H134" s="2"/>
      <c r="I134" s="2"/>
    </row>
    <row r="135" spans="1:9" ht="15.75" customHeight="1">
      <c r="A135" s="2"/>
      <c r="B135" s="2">
        <f t="shared" si="8"/>
        <v>19</v>
      </c>
      <c r="C135" s="144">
        <f t="shared" si="7"/>
        <v>0</v>
      </c>
      <c r="D135" s="2"/>
      <c r="E135" s="3"/>
      <c r="F135" s="2"/>
      <c r="H135" s="2"/>
      <c r="I135" s="2"/>
    </row>
    <row r="136" spans="1:9" ht="15.75" customHeight="1">
      <c r="A136" s="2"/>
      <c r="B136" s="2">
        <f t="shared" si="8"/>
        <v>20</v>
      </c>
      <c r="C136" s="144">
        <f t="shared" si="7"/>
        <v>0</v>
      </c>
      <c r="D136" s="2"/>
      <c r="E136" s="3"/>
      <c r="F136" s="2"/>
      <c r="H136" s="2"/>
      <c r="I136" s="2"/>
    </row>
    <row r="137" spans="1:9" ht="15.75" customHeight="1">
      <c r="A137" s="2"/>
      <c r="B137" s="2">
        <f t="shared" si="8"/>
        <v>21</v>
      </c>
      <c r="C137" s="144">
        <f t="shared" si="7"/>
        <v>0</v>
      </c>
      <c r="D137" s="2"/>
      <c r="E137" s="3"/>
      <c r="F137" s="2"/>
      <c r="H137" s="2"/>
      <c r="I137" s="2"/>
    </row>
    <row r="138" spans="1:9" ht="15.75" customHeight="1">
      <c r="A138" s="2"/>
      <c r="B138" s="2">
        <f t="shared" si="8"/>
        <v>22</v>
      </c>
      <c r="C138" s="144">
        <f t="shared" si="7"/>
        <v>0</v>
      </c>
      <c r="D138" s="2"/>
      <c r="E138" s="3"/>
      <c r="F138" s="2"/>
      <c r="H138" s="2"/>
      <c r="I138" s="2"/>
    </row>
    <row r="139" spans="1:9" ht="15.75" customHeight="1">
      <c r="A139" s="2"/>
      <c r="B139" s="2">
        <f t="shared" si="8"/>
        <v>23</v>
      </c>
      <c r="C139" s="144">
        <f t="shared" si="7"/>
        <v>0</v>
      </c>
      <c r="D139" s="2"/>
      <c r="E139" s="3"/>
      <c r="F139" s="2"/>
      <c r="H139" s="2"/>
      <c r="I139" s="2"/>
    </row>
    <row r="140" spans="1:9" ht="15.75" customHeight="1">
      <c r="A140" s="2"/>
      <c r="B140" s="2">
        <f t="shared" si="8"/>
        <v>24</v>
      </c>
      <c r="C140" s="144">
        <f t="shared" si="7"/>
        <v>0</v>
      </c>
      <c r="D140" s="2"/>
      <c r="E140" s="3"/>
      <c r="F140" s="2"/>
      <c r="H140" s="2"/>
      <c r="I140" s="2"/>
    </row>
    <row r="141" spans="1:9" ht="15.75" customHeight="1">
      <c r="A141" s="2"/>
      <c r="B141" s="145" t="s">
        <v>268</v>
      </c>
      <c r="C141" s="145">
        <f>SUM(C129:C140)</f>
        <v>0</v>
      </c>
      <c r="D141" s="2"/>
      <c r="E141" s="3"/>
      <c r="F141" s="2"/>
      <c r="H141" s="2"/>
      <c r="I141" s="2"/>
    </row>
    <row r="142" spans="1:9" ht="15.75" customHeight="1">
      <c r="A142" s="2"/>
      <c r="C142" s="144"/>
      <c r="D142" s="2"/>
      <c r="E142" s="3"/>
      <c r="F142" s="2"/>
      <c r="H142" s="2"/>
      <c r="I142" s="2"/>
    </row>
    <row r="143" spans="1:9" ht="15.75" customHeight="1">
      <c r="A143" s="2"/>
      <c r="B143" s="2">
        <f>B140+1</f>
        <v>25</v>
      </c>
      <c r="C143" s="144">
        <f t="shared" ref="C143:C154" si="9">SUMIF($B$10:$B$109,B143,$E$10:$E$109)</f>
        <v>0</v>
      </c>
      <c r="D143" s="2"/>
      <c r="E143" s="3"/>
      <c r="F143" s="2"/>
      <c r="H143" s="2"/>
      <c r="I143" s="2"/>
    </row>
    <row r="144" spans="1:9" ht="15.75" customHeight="1">
      <c r="A144" s="2"/>
      <c r="B144" s="2">
        <f t="shared" ref="B144:B154" si="10">B143+1</f>
        <v>26</v>
      </c>
      <c r="C144" s="144">
        <f t="shared" si="9"/>
        <v>0</v>
      </c>
      <c r="D144" s="2"/>
      <c r="E144" s="3"/>
      <c r="F144" s="2"/>
      <c r="H144" s="2"/>
      <c r="I144" s="2"/>
    </row>
    <row r="145" spans="1:10" ht="15.75" customHeight="1">
      <c r="A145" s="2"/>
      <c r="B145" s="2">
        <f t="shared" si="10"/>
        <v>27</v>
      </c>
      <c r="C145" s="144">
        <f t="shared" si="9"/>
        <v>0</v>
      </c>
      <c r="D145" s="2"/>
      <c r="E145" s="3"/>
      <c r="F145" s="2"/>
      <c r="H145" s="2"/>
      <c r="I145" s="2"/>
    </row>
    <row r="146" spans="1:10" ht="15.75" customHeight="1">
      <c r="A146" s="2"/>
      <c r="B146" s="2">
        <f t="shared" si="10"/>
        <v>28</v>
      </c>
      <c r="C146" s="144">
        <f t="shared" si="9"/>
        <v>0</v>
      </c>
      <c r="D146" s="2"/>
      <c r="E146" s="3"/>
      <c r="F146" s="2"/>
      <c r="H146" s="2"/>
      <c r="I146" s="2"/>
    </row>
    <row r="147" spans="1:10" ht="15.75" customHeight="1">
      <c r="A147" s="2"/>
      <c r="B147" s="2">
        <f t="shared" si="10"/>
        <v>29</v>
      </c>
      <c r="C147" s="144">
        <f t="shared" si="9"/>
        <v>0</v>
      </c>
      <c r="D147" s="2"/>
      <c r="E147" s="3"/>
      <c r="F147" s="2"/>
      <c r="H147" s="2"/>
      <c r="I147" s="2"/>
    </row>
    <row r="148" spans="1:10" ht="15.75" customHeight="1">
      <c r="A148" s="2"/>
      <c r="B148" s="2">
        <f t="shared" si="10"/>
        <v>30</v>
      </c>
      <c r="C148" s="144">
        <f t="shared" si="9"/>
        <v>0</v>
      </c>
      <c r="D148" s="2"/>
      <c r="E148" s="3"/>
      <c r="F148" s="2"/>
      <c r="H148" s="2"/>
      <c r="I148" s="2"/>
    </row>
    <row r="149" spans="1:10" ht="15.75" customHeight="1">
      <c r="A149" s="2"/>
      <c r="B149" s="2">
        <f t="shared" si="10"/>
        <v>31</v>
      </c>
      <c r="C149" s="144">
        <f t="shared" si="9"/>
        <v>0</v>
      </c>
      <c r="D149" s="2"/>
      <c r="E149" s="3"/>
      <c r="F149" s="2"/>
      <c r="H149" s="2"/>
      <c r="I149" s="2"/>
    </row>
    <row r="150" spans="1:10" ht="15.75" customHeight="1">
      <c r="A150" s="2"/>
      <c r="B150" s="2">
        <f t="shared" si="10"/>
        <v>32</v>
      </c>
      <c r="C150" s="144">
        <f t="shared" si="9"/>
        <v>0</v>
      </c>
      <c r="D150" s="2"/>
      <c r="E150" s="3"/>
      <c r="F150" s="2"/>
      <c r="H150" s="2"/>
      <c r="I150" s="2"/>
    </row>
    <row r="151" spans="1:10" ht="15.75" customHeight="1">
      <c r="A151" s="2"/>
      <c r="B151" s="2">
        <f t="shared" si="10"/>
        <v>33</v>
      </c>
      <c r="C151" s="144">
        <f t="shared" si="9"/>
        <v>0</v>
      </c>
      <c r="D151" s="2"/>
      <c r="E151" s="3"/>
      <c r="F151" s="2"/>
      <c r="H151" s="2"/>
      <c r="I151" s="2"/>
    </row>
    <row r="152" spans="1:10" ht="15.75" customHeight="1">
      <c r="A152" s="2"/>
      <c r="B152" s="2">
        <f t="shared" si="10"/>
        <v>34</v>
      </c>
      <c r="C152" s="144">
        <f t="shared" si="9"/>
        <v>0</v>
      </c>
      <c r="D152" s="2"/>
      <c r="E152" s="3"/>
      <c r="F152" s="2"/>
      <c r="H152" s="2"/>
      <c r="I152" s="2"/>
    </row>
    <row r="153" spans="1:10" ht="15.75" customHeight="1">
      <c r="A153" s="2"/>
      <c r="B153" s="2">
        <f t="shared" si="10"/>
        <v>35</v>
      </c>
      <c r="C153" s="144">
        <f t="shared" si="9"/>
        <v>0</v>
      </c>
      <c r="D153" s="2"/>
      <c r="E153" s="3"/>
      <c r="F153" s="2"/>
      <c r="H153" s="2"/>
      <c r="I153" s="2"/>
    </row>
    <row r="154" spans="1:10" ht="15.75" customHeight="1">
      <c r="A154" s="2"/>
      <c r="B154" s="2">
        <f t="shared" si="10"/>
        <v>36</v>
      </c>
      <c r="C154" s="144">
        <f t="shared" si="9"/>
        <v>0</v>
      </c>
      <c r="D154" s="2"/>
      <c r="E154" s="3"/>
      <c r="F154" s="2"/>
      <c r="H154" s="2"/>
      <c r="I154" s="2"/>
    </row>
    <row r="155" spans="1:10" ht="15.75" customHeight="1">
      <c r="A155" s="2"/>
      <c r="B155" s="145" t="s">
        <v>269</v>
      </c>
      <c r="C155" s="145">
        <f>SUM(C143:C154)</f>
        <v>0</v>
      </c>
      <c r="D155" s="2"/>
      <c r="E155" s="3"/>
      <c r="F155" s="2"/>
      <c r="H155" s="2"/>
      <c r="I155" s="2"/>
    </row>
    <row r="156" spans="1:10" ht="15.75" customHeight="1">
      <c r="A156" s="2"/>
      <c r="C156" s="144"/>
      <c r="D156" s="2"/>
      <c r="E156" s="3"/>
      <c r="F156" s="2"/>
      <c r="H156" s="2"/>
      <c r="I156" s="2"/>
    </row>
    <row r="157" spans="1:10" ht="15.75" customHeight="1">
      <c r="A157" s="2"/>
      <c r="B157" s="2">
        <f>B154+1</f>
        <v>37</v>
      </c>
      <c r="C157" s="144">
        <f t="shared" ref="C157:C168" si="11">SUMIF($B$10:$B$109,B157,$E$10:$E$109)</f>
        <v>0</v>
      </c>
      <c r="D157" s="2"/>
      <c r="E157" s="3"/>
      <c r="F157" s="2"/>
      <c r="G157" s="2"/>
      <c r="H157" s="2"/>
      <c r="I157" s="2"/>
      <c r="J157" s="2"/>
    </row>
    <row r="158" spans="1:10" ht="15.75" customHeight="1">
      <c r="A158" s="2"/>
      <c r="B158" s="2">
        <f t="shared" ref="B158:B168" si="12">B157+1</f>
        <v>38</v>
      </c>
      <c r="C158" s="144">
        <f t="shared" si="11"/>
        <v>0</v>
      </c>
      <c r="D158" s="2"/>
      <c r="E158" s="3"/>
      <c r="F158" s="2"/>
      <c r="G158" s="2"/>
      <c r="H158" s="2"/>
      <c r="I158" s="2"/>
      <c r="J158" s="2"/>
    </row>
    <row r="159" spans="1:10" ht="15.75" customHeight="1">
      <c r="A159" s="2"/>
      <c r="B159" s="2">
        <f t="shared" si="12"/>
        <v>39</v>
      </c>
      <c r="C159" s="144">
        <f t="shared" si="11"/>
        <v>0</v>
      </c>
      <c r="D159" s="2"/>
      <c r="E159" s="3"/>
      <c r="F159" s="2"/>
      <c r="G159" s="2"/>
      <c r="H159" s="2"/>
      <c r="I159" s="2"/>
      <c r="J159" s="2"/>
    </row>
    <row r="160" spans="1:10" ht="15.75" customHeight="1">
      <c r="A160" s="2"/>
      <c r="B160" s="2">
        <f t="shared" si="12"/>
        <v>40</v>
      </c>
      <c r="C160" s="144">
        <f t="shared" si="11"/>
        <v>0</v>
      </c>
      <c r="D160" s="2"/>
      <c r="E160" s="3"/>
      <c r="F160" s="2"/>
      <c r="G160" s="2"/>
      <c r="H160" s="2"/>
      <c r="I160" s="2"/>
      <c r="J160" s="2"/>
    </row>
    <row r="161" spans="1:10" ht="15.75" customHeight="1">
      <c r="A161" s="2"/>
      <c r="B161" s="2">
        <f t="shared" si="12"/>
        <v>41</v>
      </c>
      <c r="C161" s="144">
        <f t="shared" si="11"/>
        <v>0</v>
      </c>
      <c r="D161" s="2"/>
      <c r="E161" s="3"/>
      <c r="F161" s="2"/>
      <c r="G161" s="2"/>
      <c r="H161" s="2"/>
      <c r="I161" s="2"/>
      <c r="J161" s="2"/>
    </row>
    <row r="162" spans="1:10" ht="15.75" customHeight="1">
      <c r="A162" s="2"/>
      <c r="B162" s="2">
        <f t="shared" si="12"/>
        <v>42</v>
      </c>
      <c r="C162" s="144">
        <f t="shared" si="11"/>
        <v>0</v>
      </c>
      <c r="D162" s="2"/>
      <c r="E162" s="3"/>
      <c r="F162" s="2"/>
      <c r="G162" s="2"/>
      <c r="H162" s="2"/>
      <c r="I162" s="2"/>
      <c r="J162" s="2"/>
    </row>
    <row r="163" spans="1:10" ht="15.75" customHeight="1">
      <c r="A163" s="2"/>
      <c r="B163" s="2">
        <f t="shared" si="12"/>
        <v>43</v>
      </c>
      <c r="C163" s="144">
        <f t="shared" si="11"/>
        <v>0</v>
      </c>
      <c r="D163" s="2"/>
      <c r="E163" s="3"/>
      <c r="F163" s="2"/>
      <c r="G163" s="2"/>
      <c r="H163" s="2"/>
      <c r="I163" s="2"/>
      <c r="J163" s="2"/>
    </row>
    <row r="164" spans="1:10" ht="15.75" customHeight="1">
      <c r="A164" s="2"/>
      <c r="B164" s="2">
        <f t="shared" si="12"/>
        <v>44</v>
      </c>
      <c r="C164" s="144">
        <f t="shared" si="11"/>
        <v>0</v>
      </c>
      <c r="D164" s="2"/>
      <c r="E164" s="3"/>
      <c r="F164" s="2"/>
      <c r="G164" s="2"/>
      <c r="H164" s="2"/>
      <c r="I164" s="2"/>
      <c r="J164" s="2"/>
    </row>
    <row r="165" spans="1:10" ht="15.75" customHeight="1">
      <c r="A165" s="2"/>
      <c r="B165" s="2">
        <f t="shared" si="12"/>
        <v>45</v>
      </c>
      <c r="C165" s="144">
        <f t="shared" si="11"/>
        <v>0</v>
      </c>
      <c r="D165" s="2"/>
      <c r="E165" s="3"/>
      <c r="F165" s="2"/>
      <c r="G165" s="2"/>
      <c r="H165" s="2"/>
      <c r="I165" s="2"/>
      <c r="J165" s="2"/>
    </row>
    <row r="166" spans="1:10" ht="15.75" customHeight="1">
      <c r="A166" s="2"/>
      <c r="B166" s="2">
        <f t="shared" si="12"/>
        <v>46</v>
      </c>
      <c r="C166" s="144">
        <f t="shared" si="11"/>
        <v>0</v>
      </c>
      <c r="D166" s="2"/>
      <c r="E166" s="3"/>
      <c r="F166" s="2"/>
      <c r="G166" s="2"/>
      <c r="H166" s="2"/>
      <c r="I166" s="2"/>
      <c r="J166" s="2"/>
    </row>
    <row r="167" spans="1:10" ht="15.75" customHeight="1">
      <c r="A167" s="2"/>
      <c r="B167" s="2">
        <f t="shared" si="12"/>
        <v>47</v>
      </c>
      <c r="C167" s="144">
        <f t="shared" si="11"/>
        <v>0</v>
      </c>
      <c r="D167" s="2"/>
      <c r="E167" s="3"/>
      <c r="F167" s="2"/>
      <c r="G167" s="2"/>
      <c r="H167" s="2"/>
      <c r="I167" s="2"/>
      <c r="J167" s="2"/>
    </row>
    <row r="168" spans="1:10" ht="15.75" customHeight="1">
      <c r="A168" s="2"/>
      <c r="B168" s="2">
        <f t="shared" si="12"/>
        <v>48</v>
      </c>
      <c r="C168" s="144">
        <f t="shared" si="11"/>
        <v>0</v>
      </c>
      <c r="D168" s="2"/>
      <c r="E168" s="3"/>
      <c r="F168" s="2"/>
      <c r="G168" s="2"/>
      <c r="H168" s="2"/>
      <c r="I168" s="2"/>
      <c r="J168" s="2"/>
    </row>
    <row r="169" spans="1:10" ht="15.75" customHeight="1">
      <c r="A169" s="2"/>
      <c r="B169" s="145" t="s">
        <v>270</v>
      </c>
      <c r="C169" s="145">
        <f>SUM(C157:C168)</f>
        <v>0</v>
      </c>
      <c r="D169" s="2"/>
      <c r="E169" s="3"/>
      <c r="F169" s="2"/>
      <c r="G169" s="2"/>
      <c r="H169" s="2"/>
      <c r="I169" s="2"/>
      <c r="J169" s="2"/>
    </row>
    <row r="170" spans="1:10" ht="15.75" customHeight="1">
      <c r="A170" s="2"/>
      <c r="B170" s="2"/>
      <c r="C170" s="144"/>
      <c r="D170" s="2"/>
      <c r="E170" s="3"/>
      <c r="F170" s="2"/>
      <c r="G170" s="2"/>
      <c r="H170" s="2"/>
      <c r="I170" s="2"/>
      <c r="J170" s="2"/>
    </row>
    <row r="171" spans="1:10" ht="15.75" customHeight="1">
      <c r="A171" s="2"/>
      <c r="B171" s="2">
        <f>B168+1</f>
        <v>49</v>
      </c>
      <c r="C171" s="144">
        <f t="shared" ref="C171:C182" si="13">SUMIF($B$10:$B$109,B171,$E$10:$E$109)</f>
        <v>0</v>
      </c>
      <c r="D171" s="2"/>
      <c r="E171" s="3"/>
      <c r="F171" s="2"/>
      <c r="G171" s="2"/>
      <c r="H171" s="2"/>
      <c r="I171" s="2"/>
      <c r="J171" s="2"/>
    </row>
    <row r="172" spans="1:10" ht="15.75" customHeight="1">
      <c r="A172" s="2"/>
      <c r="B172" s="2">
        <f t="shared" ref="B172:B182" si="14">B171+1</f>
        <v>50</v>
      </c>
      <c r="C172" s="144">
        <f t="shared" si="13"/>
        <v>0</v>
      </c>
      <c r="D172" s="2"/>
      <c r="E172" s="3"/>
      <c r="F172" s="2"/>
      <c r="G172" s="2"/>
      <c r="H172" s="2"/>
      <c r="I172" s="2"/>
      <c r="J172" s="2"/>
    </row>
    <row r="173" spans="1:10" ht="15.75" customHeight="1">
      <c r="A173" s="2"/>
      <c r="B173" s="2">
        <f t="shared" si="14"/>
        <v>51</v>
      </c>
      <c r="C173" s="144">
        <f t="shared" si="13"/>
        <v>0</v>
      </c>
      <c r="D173" s="2"/>
      <c r="E173" s="3"/>
      <c r="F173" s="2"/>
      <c r="G173" s="2"/>
      <c r="H173" s="2"/>
      <c r="I173" s="2"/>
      <c r="J173" s="2"/>
    </row>
    <row r="174" spans="1:10" ht="15.75" customHeight="1">
      <c r="A174" s="2"/>
      <c r="B174" s="2">
        <f t="shared" si="14"/>
        <v>52</v>
      </c>
      <c r="C174" s="144">
        <f t="shared" si="13"/>
        <v>0</v>
      </c>
      <c r="D174" s="2"/>
      <c r="E174" s="3"/>
      <c r="F174" s="2"/>
      <c r="G174" s="2"/>
      <c r="H174" s="2"/>
      <c r="I174" s="2"/>
      <c r="J174" s="2"/>
    </row>
    <row r="175" spans="1:10" ht="15.75" customHeight="1">
      <c r="A175" s="2"/>
      <c r="B175" s="2">
        <f t="shared" si="14"/>
        <v>53</v>
      </c>
      <c r="C175" s="144">
        <f t="shared" si="13"/>
        <v>0</v>
      </c>
      <c r="D175" s="2"/>
      <c r="E175" s="3"/>
      <c r="F175" s="2"/>
      <c r="G175" s="2"/>
      <c r="H175" s="2"/>
      <c r="I175" s="2"/>
      <c r="J175" s="2"/>
    </row>
    <row r="176" spans="1:10" ht="15.75" customHeight="1">
      <c r="A176" s="2"/>
      <c r="B176" s="2">
        <f t="shared" si="14"/>
        <v>54</v>
      </c>
      <c r="C176" s="144">
        <f t="shared" si="13"/>
        <v>0</v>
      </c>
      <c r="D176" s="2"/>
      <c r="E176" s="3"/>
      <c r="F176" s="2"/>
      <c r="G176" s="2"/>
      <c r="H176" s="2"/>
      <c r="I176" s="2"/>
      <c r="J176" s="2"/>
    </row>
    <row r="177" spans="1:10" ht="15.75" customHeight="1">
      <c r="A177" s="2"/>
      <c r="B177" s="2">
        <f t="shared" si="14"/>
        <v>55</v>
      </c>
      <c r="C177" s="144">
        <f t="shared" si="13"/>
        <v>0</v>
      </c>
      <c r="D177" s="2"/>
      <c r="E177" s="3"/>
      <c r="F177" s="2"/>
      <c r="G177" s="2"/>
      <c r="H177" s="2"/>
      <c r="I177" s="2"/>
      <c r="J177" s="2"/>
    </row>
    <row r="178" spans="1:10" ht="15.75" customHeight="1">
      <c r="A178" s="2"/>
      <c r="B178" s="2">
        <f t="shared" si="14"/>
        <v>56</v>
      </c>
      <c r="C178" s="144">
        <f t="shared" si="13"/>
        <v>0</v>
      </c>
      <c r="D178" s="2"/>
      <c r="E178" s="3"/>
      <c r="F178" s="2"/>
      <c r="G178" s="2"/>
      <c r="H178" s="2"/>
      <c r="I178" s="2"/>
      <c r="J178" s="2"/>
    </row>
    <row r="179" spans="1:10" ht="15.75" customHeight="1">
      <c r="A179" s="2"/>
      <c r="B179" s="2">
        <f t="shared" si="14"/>
        <v>57</v>
      </c>
      <c r="C179" s="144">
        <f t="shared" si="13"/>
        <v>0</v>
      </c>
      <c r="D179" s="2"/>
      <c r="E179" s="3"/>
      <c r="F179" s="2"/>
      <c r="G179" s="2"/>
      <c r="H179" s="2"/>
      <c r="I179" s="2"/>
      <c r="J179" s="2"/>
    </row>
    <row r="180" spans="1:10" ht="15.75" customHeight="1">
      <c r="A180" s="2"/>
      <c r="B180" s="2">
        <f t="shared" si="14"/>
        <v>58</v>
      </c>
      <c r="C180" s="144">
        <f t="shared" si="13"/>
        <v>0</v>
      </c>
      <c r="D180" s="2"/>
      <c r="E180" s="3"/>
      <c r="F180" s="2"/>
      <c r="G180" s="2"/>
      <c r="H180" s="2"/>
      <c r="I180" s="2"/>
      <c r="J180" s="2"/>
    </row>
    <row r="181" spans="1:10" ht="15.75" customHeight="1">
      <c r="A181" s="2"/>
      <c r="B181" s="2">
        <f t="shared" si="14"/>
        <v>59</v>
      </c>
      <c r="C181" s="144">
        <f t="shared" si="13"/>
        <v>0</v>
      </c>
      <c r="D181" s="2"/>
      <c r="E181" s="3"/>
      <c r="F181" s="2"/>
      <c r="G181" s="2"/>
      <c r="H181" s="2"/>
      <c r="I181" s="2"/>
      <c r="J181" s="2"/>
    </row>
    <row r="182" spans="1:10" ht="15.75" customHeight="1">
      <c r="A182" s="2"/>
      <c r="B182" s="2">
        <f t="shared" si="14"/>
        <v>60</v>
      </c>
      <c r="C182" s="144">
        <f t="shared" si="13"/>
        <v>0</v>
      </c>
      <c r="D182" s="2"/>
      <c r="E182" s="3"/>
      <c r="F182" s="2"/>
      <c r="G182" s="2"/>
      <c r="H182" s="2"/>
      <c r="I182" s="2"/>
      <c r="J182" s="2"/>
    </row>
    <row r="183" spans="1:10" ht="15.75" customHeight="1">
      <c r="A183" s="2"/>
      <c r="B183" s="145" t="s">
        <v>271</v>
      </c>
      <c r="C183" s="145">
        <f>SUM(C171:C182)</f>
        <v>0</v>
      </c>
      <c r="D183" s="2"/>
      <c r="E183" s="3"/>
      <c r="F183" s="2"/>
      <c r="G183" s="2"/>
      <c r="H183" s="2"/>
      <c r="I183" s="2"/>
      <c r="J183" s="2"/>
    </row>
    <row r="184" spans="1:10" ht="15.75" customHeight="1">
      <c r="A184" s="2"/>
      <c r="B184" s="2"/>
      <c r="C184" s="144"/>
      <c r="D184" s="2"/>
      <c r="E184" s="3"/>
      <c r="F184" s="2"/>
      <c r="G184" s="2"/>
      <c r="H184" s="2"/>
      <c r="I184" s="2"/>
      <c r="J184" s="2"/>
    </row>
    <row r="185" spans="1:10" ht="15.75" customHeight="1"/>
    <row r="186" spans="1:10" ht="15.75" customHeight="1"/>
    <row r="187" spans="1:10" ht="15.75" customHeight="1"/>
    <row r="188" spans="1:10" ht="15.75" customHeight="1"/>
    <row r="189" spans="1:10" ht="15.75" customHeight="1"/>
    <row r="190" spans="1:10" ht="15.75" customHeight="1"/>
    <row r="191" spans="1:10" ht="15.75" customHeight="1"/>
    <row r="192" spans="1:10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 objects="1" scenarios="1"/>
  <protectedRanges>
    <protectedRange sqref="B10:F109 H10:H109" name="Range1"/>
  </protectedRanges>
  <mergeCells count="2">
    <mergeCell ref="B8:F8"/>
    <mergeCell ref="G8:J8"/>
  </mergeCells>
  <dataValidations count="1">
    <dataValidation type="list" allowBlank="1" showErrorMessage="1" sqref="B10:B109" xr:uid="{00000000-0002-0000-0900-000000000000}">
      <formula1>No_Mos</formula1>
    </dataValidation>
  </dataValidation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5631-6A10-4D0A-ACDF-CBF481360159}">
  <dimension ref="A1:C35"/>
  <sheetViews>
    <sheetView workbookViewId="0">
      <selection activeCell="C33" sqref="C33"/>
    </sheetView>
  </sheetViews>
  <sheetFormatPr defaultRowHeight="14.5"/>
  <cols>
    <col min="1" max="1" width="57.81640625" bestFit="1" customWidth="1"/>
    <col min="2" max="2" width="0" hidden="1" customWidth="1"/>
  </cols>
  <sheetData>
    <row r="1" spans="1:3">
      <c r="A1" s="339" t="s">
        <v>256</v>
      </c>
      <c r="B1" s="340" t="s">
        <v>257</v>
      </c>
      <c r="C1" s="341" t="s">
        <v>127</v>
      </c>
    </row>
    <row r="2" spans="1:3">
      <c r="A2" s="342" t="s">
        <v>581</v>
      </c>
      <c r="B2" s="124"/>
      <c r="C2" s="343">
        <v>0</v>
      </c>
    </row>
    <row r="3" spans="1:3">
      <c r="A3" s="344" t="s">
        <v>562</v>
      </c>
      <c r="B3" s="124"/>
      <c r="C3" s="345">
        <v>50000</v>
      </c>
    </row>
    <row r="4" spans="1:3">
      <c r="A4" s="344" t="s">
        <v>611</v>
      </c>
      <c r="B4" s="124" t="s">
        <v>582</v>
      </c>
      <c r="C4" s="345">
        <v>400000</v>
      </c>
    </row>
    <row r="5" spans="1:3">
      <c r="A5" s="346" t="s">
        <v>584</v>
      </c>
      <c r="B5" s="124" t="s">
        <v>583</v>
      </c>
      <c r="C5" s="345">
        <v>26000</v>
      </c>
    </row>
    <row r="6" spans="1:3">
      <c r="A6" s="346" t="s">
        <v>585</v>
      </c>
      <c r="B6" s="124"/>
      <c r="C6" s="345">
        <v>20000</v>
      </c>
    </row>
    <row r="7" spans="1:3">
      <c r="A7" s="346" t="s">
        <v>589</v>
      </c>
      <c r="B7" s="124"/>
      <c r="C7" s="345">
        <v>18000</v>
      </c>
    </row>
    <row r="8" spans="1:3">
      <c r="A8" s="344" t="s">
        <v>592</v>
      </c>
      <c r="B8" s="124" t="s">
        <v>590</v>
      </c>
      <c r="C8" s="345">
        <v>11000</v>
      </c>
    </row>
    <row r="9" spans="1:3">
      <c r="A9" s="346" t="s">
        <v>593</v>
      </c>
      <c r="B9" s="124"/>
      <c r="C9" s="345">
        <v>10000</v>
      </c>
    </row>
    <row r="10" spans="1:3">
      <c r="A10" s="346" t="s">
        <v>263</v>
      </c>
      <c r="B10" s="124"/>
      <c r="C10" s="345">
        <v>3000</v>
      </c>
    </row>
    <row r="11" spans="1:3">
      <c r="A11" s="346" t="s">
        <v>599</v>
      </c>
      <c r="B11" s="124"/>
      <c r="C11" s="345">
        <v>26000</v>
      </c>
    </row>
    <row r="12" spans="1:3">
      <c r="A12" s="346" t="s">
        <v>264</v>
      </c>
      <c r="B12" s="124"/>
      <c r="C12" s="345">
        <v>0</v>
      </c>
    </row>
    <row r="13" spans="1:3">
      <c r="A13" s="346" t="s">
        <v>265</v>
      </c>
      <c r="B13" s="124"/>
      <c r="C13" s="345">
        <v>4800</v>
      </c>
    </row>
    <row r="14" spans="1:3">
      <c r="A14" s="344" t="s">
        <v>591</v>
      </c>
      <c r="B14" s="124"/>
      <c r="C14" s="345">
        <f>15*85</f>
        <v>1275</v>
      </c>
    </row>
    <row r="15" spans="1:3">
      <c r="A15" s="346" t="s">
        <v>587</v>
      </c>
      <c r="B15" s="124"/>
      <c r="C15" s="345">
        <f>50*110</f>
        <v>5500</v>
      </c>
    </row>
    <row r="16" spans="1:3">
      <c r="A16" s="346" t="s">
        <v>588</v>
      </c>
      <c r="B16" s="124"/>
      <c r="C16" s="345">
        <f>20*75</f>
        <v>1500</v>
      </c>
    </row>
    <row r="17" spans="1:3">
      <c r="A17" s="344" t="s">
        <v>563</v>
      </c>
      <c r="B17" s="124"/>
      <c r="C17" s="345">
        <v>10000</v>
      </c>
    </row>
    <row r="18" spans="1:3">
      <c r="A18" s="344" t="s">
        <v>163</v>
      </c>
      <c r="B18" s="124"/>
      <c r="C18" s="345">
        <v>25000</v>
      </c>
    </row>
    <row r="19" spans="1:3">
      <c r="A19" s="344" t="s">
        <v>564</v>
      </c>
      <c r="B19" s="124"/>
      <c r="C19" s="345">
        <v>20000</v>
      </c>
    </row>
    <row r="20" spans="1:3">
      <c r="A20" s="344" t="s">
        <v>568</v>
      </c>
      <c r="B20" s="124"/>
      <c r="C20" s="345">
        <v>2000</v>
      </c>
    </row>
    <row r="21" spans="1:3">
      <c r="A21" s="344" t="s">
        <v>569</v>
      </c>
      <c r="B21" s="124"/>
      <c r="C21" s="345">
        <v>1500</v>
      </c>
    </row>
    <row r="22" spans="1:3">
      <c r="A22" s="344" t="s">
        <v>570</v>
      </c>
      <c r="B22" s="124"/>
      <c r="C22" s="345">
        <v>2000</v>
      </c>
    </row>
    <row r="23" spans="1:3">
      <c r="A23" s="344" t="s">
        <v>565</v>
      </c>
      <c r="B23" s="124"/>
      <c r="C23" s="345">
        <v>10000</v>
      </c>
    </row>
    <row r="24" spans="1:3">
      <c r="A24" s="344" t="s">
        <v>566</v>
      </c>
      <c r="B24" s="124"/>
      <c r="C24" s="345">
        <v>20000</v>
      </c>
    </row>
    <row r="25" spans="1:3">
      <c r="A25" s="344" t="s">
        <v>567</v>
      </c>
      <c r="B25" s="124"/>
      <c r="C25" s="345">
        <v>5000</v>
      </c>
    </row>
    <row r="26" spans="1:3">
      <c r="A26" s="344" t="s">
        <v>603</v>
      </c>
      <c r="B26" s="124"/>
      <c r="C26" s="345">
        <f>SUM(C2:C25)*0.1</f>
        <v>67257.5</v>
      </c>
    </row>
    <row r="27" spans="1:3" ht="15" thickBot="1">
      <c r="A27" s="350" t="s">
        <v>610</v>
      </c>
      <c r="B27" s="351"/>
      <c r="C27" s="352">
        <f>SUM(C2:C26)</f>
        <v>739832.5</v>
      </c>
    </row>
    <row r="28" spans="1:3" ht="15" thickTop="1">
      <c r="A28" s="344"/>
      <c r="B28" s="124"/>
      <c r="C28" s="345"/>
    </row>
    <row r="29" spans="1:3">
      <c r="A29" s="344" t="s">
        <v>612</v>
      </c>
      <c r="B29" s="124"/>
      <c r="C29" s="345">
        <v>2000</v>
      </c>
    </row>
    <row r="30" spans="1:3">
      <c r="A30" s="344" t="s">
        <v>613</v>
      </c>
      <c r="B30" s="124"/>
      <c r="C30" s="345">
        <v>5000</v>
      </c>
    </row>
    <row r="31" spans="1:3">
      <c r="A31" s="344" t="s">
        <v>614</v>
      </c>
      <c r="B31" s="124"/>
      <c r="C31" s="345">
        <v>5000</v>
      </c>
    </row>
    <row r="32" spans="1:3">
      <c r="A32" s="344" t="s">
        <v>615</v>
      </c>
      <c r="B32" s="124"/>
      <c r="C32" s="345">
        <v>1000</v>
      </c>
    </row>
    <row r="33" spans="1:3">
      <c r="A33" s="344" t="s">
        <v>616</v>
      </c>
      <c r="B33" s="124"/>
      <c r="C33" s="345">
        <v>40000</v>
      </c>
    </row>
    <row r="34" spans="1:3" ht="15" thickBot="1">
      <c r="A34" s="350" t="s">
        <v>617</v>
      </c>
      <c r="B34" s="351"/>
      <c r="C34" s="352">
        <f>SUM(C28:C33)</f>
        <v>53000</v>
      </c>
    </row>
    <row r="35" spans="1:3" ht="15.5" thickTop="1" thickBot="1">
      <c r="A35" s="347" t="s">
        <v>618</v>
      </c>
      <c r="B35" s="348"/>
      <c r="C35" s="349">
        <f>C27+C34</f>
        <v>792832.5</v>
      </c>
    </row>
  </sheetData>
  <sheetProtection sheet="1" objects="1" scenarios="1"/>
  <protectedRanges>
    <protectedRange sqref="A2:C26" name="Range1"/>
  </protectedRange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U1000"/>
  <sheetViews>
    <sheetView workbookViewId="0">
      <selection activeCell="I30" sqref="I30"/>
    </sheetView>
  </sheetViews>
  <sheetFormatPr defaultColWidth="14.453125" defaultRowHeight="15" customHeight="1"/>
  <cols>
    <col min="1" max="1" width="8.7265625" customWidth="1"/>
    <col min="2" max="2" width="32.1796875" customWidth="1"/>
    <col min="3" max="3" width="9.7265625" customWidth="1"/>
    <col min="4" max="4" width="8.26953125" customWidth="1"/>
    <col min="5" max="5" width="10.54296875" customWidth="1"/>
    <col min="6" max="7" width="8.7265625" customWidth="1"/>
    <col min="8" max="8" width="9.54296875" customWidth="1"/>
    <col min="9" max="46" width="8.7265625" customWidth="1"/>
    <col min="47" max="72" width="9.1796875" customWidth="1"/>
    <col min="73" max="73" width="8.7265625" customWidth="1"/>
  </cols>
  <sheetData>
    <row r="1" spans="1:73" ht="14.5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3" ht="15.75" customHeight="1">
      <c r="A2" s="6" t="s">
        <v>292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</row>
    <row r="3" spans="1:73" ht="14.5">
      <c r="A3" s="11"/>
      <c r="B3" s="11"/>
      <c r="C3" s="11"/>
      <c r="D3" s="11"/>
      <c r="E3" s="11"/>
      <c r="F3" s="11"/>
      <c r="G3" s="11"/>
      <c r="H3" s="31"/>
      <c r="I3" s="32"/>
      <c r="J3" s="32"/>
      <c r="K3" s="32"/>
      <c r="L3" s="32"/>
      <c r="M3" s="32"/>
      <c r="N3" s="33" t="s">
        <v>98</v>
      </c>
      <c r="O3" s="32"/>
      <c r="P3" s="32"/>
      <c r="Q3" s="32"/>
      <c r="R3" s="32"/>
      <c r="S3" s="32"/>
      <c r="T3" s="34"/>
      <c r="U3" s="31"/>
      <c r="V3" s="32"/>
      <c r="W3" s="32"/>
      <c r="X3" s="32"/>
      <c r="Y3" s="32"/>
      <c r="Z3" s="32"/>
      <c r="AA3" s="33" t="s">
        <v>99</v>
      </c>
      <c r="AB3" s="32"/>
      <c r="AC3" s="32"/>
      <c r="AD3" s="32"/>
      <c r="AE3" s="32"/>
      <c r="AF3" s="32"/>
      <c r="AG3" s="34"/>
      <c r="AH3" s="31"/>
      <c r="AI3" s="32"/>
      <c r="AJ3" s="32"/>
      <c r="AK3" s="32"/>
      <c r="AL3" s="32"/>
      <c r="AM3" s="32"/>
      <c r="AN3" s="33" t="s">
        <v>100</v>
      </c>
      <c r="AO3" s="32"/>
      <c r="AP3" s="32"/>
      <c r="AQ3" s="32"/>
      <c r="AR3" s="32"/>
      <c r="AS3" s="32"/>
      <c r="AT3" s="34"/>
      <c r="AU3" s="31"/>
      <c r="AV3" s="32"/>
      <c r="AW3" s="32"/>
      <c r="AX3" s="32"/>
      <c r="AY3" s="32"/>
      <c r="AZ3" s="32"/>
      <c r="BA3" s="33" t="s">
        <v>101</v>
      </c>
      <c r="BB3" s="32"/>
      <c r="BC3" s="32"/>
      <c r="BD3" s="32"/>
      <c r="BE3" s="32"/>
      <c r="BF3" s="32"/>
      <c r="BG3" s="34"/>
      <c r="BH3" s="31"/>
      <c r="BI3" s="32"/>
      <c r="BJ3" s="32"/>
      <c r="BK3" s="32"/>
      <c r="BL3" s="32"/>
      <c r="BM3" s="32"/>
      <c r="BN3" s="33" t="s">
        <v>102</v>
      </c>
      <c r="BO3" s="32"/>
      <c r="BP3" s="32"/>
      <c r="BQ3" s="32"/>
      <c r="BR3" s="32"/>
      <c r="BS3" s="32"/>
      <c r="BT3" s="34"/>
    </row>
    <row r="4" spans="1:73" ht="14.5">
      <c r="A4" s="1"/>
      <c r="B4" s="1"/>
      <c r="C4" s="1"/>
      <c r="D4" s="1"/>
      <c r="E4" s="1"/>
      <c r="F4" s="1"/>
      <c r="G4" s="1"/>
      <c r="H4" s="35" t="str">
        <f>SOFP!F5</f>
        <v>Jan</v>
      </c>
      <c r="I4" s="35" t="str">
        <f>SOFP!G5</f>
        <v>Feb</v>
      </c>
      <c r="J4" s="35" t="str">
        <f>SOFP!H5</f>
        <v>Mar</v>
      </c>
      <c r="K4" s="35" t="str">
        <f>SOFP!I5</f>
        <v>Apr</v>
      </c>
      <c r="L4" s="35" t="str">
        <f>SOFP!J5</f>
        <v>May</v>
      </c>
      <c r="M4" s="35" t="str">
        <f>SOFP!K5</f>
        <v>Jun</v>
      </c>
      <c r="N4" s="35" t="str">
        <f>SOFP!L5</f>
        <v>Jul</v>
      </c>
      <c r="O4" s="35" t="str">
        <f>SOFP!M5</f>
        <v>Aug</v>
      </c>
      <c r="P4" s="35" t="str">
        <f>SOFP!N5</f>
        <v>Sep</v>
      </c>
      <c r="Q4" s="35" t="str">
        <f>SOFP!O5</f>
        <v>Oct</v>
      </c>
      <c r="R4" s="35" t="str">
        <f>SOFP!P5</f>
        <v>Nov</v>
      </c>
      <c r="S4" s="35" t="str">
        <f>SOFP!Q5</f>
        <v>Dec</v>
      </c>
      <c r="T4" s="36" t="s">
        <v>116</v>
      </c>
      <c r="U4" s="35" t="str">
        <f t="shared" ref="U4:AF4" si="0">H4</f>
        <v>Jan</v>
      </c>
      <c r="V4" s="35" t="str">
        <f t="shared" si="0"/>
        <v>Feb</v>
      </c>
      <c r="W4" s="35" t="str">
        <f t="shared" si="0"/>
        <v>Mar</v>
      </c>
      <c r="X4" s="35" t="str">
        <f t="shared" si="0"/>
        <v>Apr</v>
      </c>
      <c r="Y4" s="35" t="str">
        <f t="shared" si="0"/>
        <v>May</v>
      </c>
      <c r="Z4" s="35" t="str">
        <f t="shared" si="0"/>
        <v>Jun</v>
      </c>
      <c r="AA4" s="35" t="str">
        <f t="shared" si="0"/>
        <v>Jul</v>
      </c>
      <c r="AB4" s="35" t="str">
        <f t="shared" si="0"/>
        <v>Aug</v>
      </c>
      <c r="AC4" s="35" t="str">
        <f t="shared" si="0"/>
        <v>Sep</v>
      </c>
      <c r="AD4" s="35" t="str">
        <f t="shared" si="0"/>
        <v>Oct</v>
      </c>
      <c r="AE4" s="35" t="str">
        <f t="shared" si="0"/>
        <v>Nov</v>
      </c>
      <c r="AF4" s="35" t="str">
        <f t="shared" si="0"/>
        <v>Dec</v>
      </c>
      <c r="AG4" s="36" t="s">
        <v>116</v>
      </c>
      <c r="AH4" s="35" t="str">
        <f t="shared" ref="AH4:AS4" si="1">U4</f>
        <v>Jan</v>
      </c>
      <c r="AI4" s="35" t="str">
        <f t="shared" si="1"/>
        <v>Feb</v>
      </c>
      <c r="AJ4" s="35" t="str">
        <f t="shared" si="1"/>
        <v>Mar</v>
      </c>
      <c r="AK4" s="35" t="str">
        <f t="shared" si="1"/>
        <v>Apr</v>
      </c>
      <c r="AL4" s="35" t="str">
        <f t="shared" si="1"/>
        <v>May</v>
      </c>
      <c r="AM4" s="35" t="str">
        <f t="shared" si="1"/>
        <v>Jun</v>
      </c>
      <c r="AN4" s="35" t="str">
        <f t="shared" si="1"/>
        <v>Jul</v>
      </c>
      <c r="AO4" s="35" t="str">
        <f t="shared" si="1"/>
        <v>Aug</v>
      </c>
      <c r="AP4" s="35" t="str">
        <f t="shared" si="1"/>
        <v>Sep</v>
      </c>
      <c r="AQ4" s="35" t="str">
        <f t="shared" si="1"/>
        <v>Oct</v>
      </c>
      <c r="AR4" s="35" t="str">
        <f t="shared" si="1"/>
        <v>Nov</v>
      </c>
      <c r="AS4" s="35" t="str">
        <f t="shared" si="1"/>
        <v>Dec</v>
      </c>
      <c r="AT4" s="36" t="s">
        <v>116</v>
      </c>
      <c r="AU4" s="35" t="str">
        <f t="shared" ref="AU4:BF4" si="2">AH4</f>
        <v>Jan</v>
      </c>
      <c r="AV4" s="35" t="str">
        <f t="shared" si="2"/>
        <v>Feb</v>
      </c>
      <c r="AW4" s="35" t="str">
        <f t="shared" si="2"/>
        <v>Mar</v>
      </c>
      <c r="AX4" s="35" t="str">
        <f t="shared" si="2"/>
        <v>Apr</v>
      </c>
      <c r="AY4" s="35" t="str">
        <f t="shared" si="2"/>
        <v>May</v>
      </c>
      <c r="AZ4" s="35" t="str">
        <f t="shared" si="2"/>
        <v>Jun</v>
      </c>
      <c r="BA4" s="35" t="str">
        <f t="shared" si="2"/>
        <v>Jul</v>
      </c>
      <c r="BB4" s="35" t="str">
        <f t="shared" si="2"/>
        <v>Aug</v>
      </c>
      <c r="BC4" s="35" t="str">
        <f t="shared" si="2"/>
        <v>Sep</v>
      </c>
      <c r="BD4" s="35" t="str">
        <f t="shared" si="2"/>
        <v>Oct</v>
      </c>
      <c r="BE4" s="35" t="str">
        <f t="shared" si="2"/>
        <v>Nov</v>
      </c>
      <c r="BF4" s="35" t="str">
        <f t="shared" si="2"/>
        <v>Dec</v>
      </c>
      <c r="BG4" s="36" t="s">
        <v>116</v>
      </c>
      <c r="BH4" s="35" t="str">
        <f t="shared" ref="BH4:BS4" si="3">AU4</f>
        <v>Jan</v>
      </c>
      <c r="BI4" s="35" t="str">
        <f t="shared" si="3"/>
        <v>Feb</v>
      </c>
      <c r="BJ4" s="35" t="str">
        <f t="shared" si="3"/>
        <v>Mar</v>
      </c>
      <c r="BK4" s="35" t="str">
        <f t="shared" si="3"/>
        <v>Apr</v>
      </c>
      <c r="BL4" s="35" t="str">
        <f t="shared" si="3"/>
        <v>May</v>
      </c>
      <c r="BM4" s="35" t="str">
        <f t="shared" si="3"/>
        <v>Jun</v>
      </c>
      <c r="BN4" s="35" t="str">
        <f t="shared" si="3"/>
        <v>Jul</v>
      </c>
      <c r="BO4" s="35" t="str">
        <f t="shared" si="3"/>
        <v>Aug</v>
      </c>
      <c r="BP4" s="35" t="str">
        <f t="shared" si="3"/>
        <v>Sep</v>
      </c>
      <c r="BQ4" s="35" t="str">
        <f t="shared" si="3"/>
        <v>Oct</v>
      </c>
      <c r="BR4" s="35" t="str">
        <f t="shared" si="3"/>
        <v>Nov</v>
      </c>
      <c r="BS4" s="35" t="str">
        <f t="shared" si="3"/>
        <v>Dec</v>
      </c>
      <c r="BT4" s="36" t="s">
        <v>116</v>
      </c>
      <c r="BU4" s="36" t="s">
        <v>117</v>
      </c>
    </row>
    <row r="5" spans="1:73" ht="14.5">
      <c r="A5" s="159" t="s">
        <v>293</v>
      </c>
      <c r="B5" s="160"/>
      <c r="C5" s="36" t="s">
        <v>294</v>
      </c>
      <c r="D5" s="36" t="s">
        <v>262</v>
      </c>
      <c r="E5" s="36" t="s">
        <v>261</v>
      </c>
      <c r="H5" s="3">
        <v>1</v>
      </c>
      <c r="I5" s="3">
        <v>2</v>
      </c>
      <c r="J5" s="3">
        <v>3</v>
      </c>
      <c r="K5" s="3">
        <v>4</v>
      </c>
      <c r="L5" s="3">
        <v>5</v>
      </c>
      <c r="M5" s="3">
        <v>6</v>
      </c>
      <c r="N5" s="3">
        <v>7</v>
      </c>
      <c r="O5" s="3">
        <v>8</v>
      </c>
      <c r="P5" s="3">
        <v>9</v>
      </c>
      <c r="Q5" s="3">
        <v>10</v>
      </c>
      <c r="R5" s="3">
        <v>11</v>
      </c>
      <c r="S5" s="3">
        <v>12</v>
      </c>
      <c r="T5" s="37"/>
      <c r="U5" s="3">
        <v>13</v>
      </c>
      <c r="V5" s="3">
        <v>14</v>
      </c>
      <c r="W5" s="3">
        <v>15</v>
      </c>
      <c r="X5" s="3">
        <v>16</v>
      </c>
      <c r="Y5" s="3">
        <v>17</v>
      </c>
      <c r="Z5" s="3">
        <v>18</v>
      </c>
      <c r="AA5" s="3">
        <v>19</v>
      </c>
      <c r="AB5" s="3">
        <v>20</v>
      </c>
      <c r="AC5" s="3">
        <v>21</v>
      </c>
      <c r="AD5" s="3">
        <v>22</v>
      </c>
      <c r="AE5" s="3">
        <v>23</v>
      </c>
      <c r="AF5" s="3">
        <v>24</v>
      </c>
      <c r="AG5" s="37"/>
      <c r="AH5" s="3">
        <v>25</v>
      </c>
      <c r="AI5" s="3">
        <v>26</v>
      </c>
      <c r="AJ5" s="3">
        <v>27</v>
      </c>
      <c r="AK5" s="3">
        <v>28</v>
      </c>
      <c r="AL5" s="3">
        <v>29</v>
      </c>
      <c r="AM5" s="3">
        <v>30</v>
      </c>
      <c r="AN5" s="3">
        <v>31</v>
      </c>
      <c r="AO5" s="3">
        <v>32</v>
      </c>
      <c r="AP5" s="3">
        <v>33</v>
      </c>
      <c r="AQ5" s="3">
        <v>34</v>
      </c>
      <c r="AR5" s="3">
        <v>35</v>
      </c>
      <c r="AS5" s="3">
        <v>36</v>
      </c>
      <c r="AT5" s="37"/>
      <c r="AU5" s="3">
        <v>37</v>
      </c>
      <c r="AV5" s="3">
        <v>38</v>
      </c>
      <c r="AW5" s="3">
        <v>39</v>
      </c>
      <c r="AX5" s="3">
        <v>40</v>
      </c>
      <c r="AY5" s="3">
        <v>41</v>
      </c>
      <c r="AZ5" s="3">
        <v>42</v>
      </c>
      <c r="BA5" s="3">
        <v>43</v>
      </c>
      <c r="BB5" s="3">
        <v>44</v>
      </c>
      <c r="BC5" s="3">
        <v>45</v>
      </c>
      <c r="BD5" s="3">
        <v>46</v>
      </c>
      <c r="BE5" s="3">
        <v>47</v>
      </c>
      <c r="BF5" s="3">
        <v>48</v>
      </c>
      <c r="BG5" s="37"/>
      <c r="BH5" s="3">
        <v>49</v>
      </c>
      <c r="BI5" s="3">
        <v>50</v>
      </c>
      <c r="BJ5" s="3">
        <v>51</v>
      </c>
      <c r="BK5" s="3">
        <v>52</v>
      </c>
      <c r="BL5" s="3">
        <v>53</v>
      </c>
      <c r="BM5" s="3">
        <v>54</v>
      </c>
      <c r="BN5" s="3">
        <v>55</v>
      </c>
      <c r="BO5" s="3">
        <v>56</v>
      </c>
      <c r="BP5" s="3">
        <v>57</v>
      </c>
      <c r="BQ5" s="3">
        <v>58</v>
      </c>
      <c r="BR5" s="3">
        <v>59</v>
      </c>
      <c r="BS5" s="3">
        <v>60</v>
      </c>
      <c r="BT5" s="37"/>
      <c r="BU5" s="3"/>
    </row>
    <row r="6" spans="1:73" ht="14.5">
      <c r="A6" s="54" t="str">
        <f>IF('Capital purchases'!C10="","",'Capital purchases'!C10)</f>
        <v>Real estate (Leasing)</v>
      </c>
      <c r="B6" s="2"/>
      <c r="C6" s="2">
        <f>IF($A6="","",'Capital purchases'!B10)</f>
        <v>1</v>
      </c>
      <c r="D6" s="3">
        <f>IF($A6="","",'Capital purchases'!J10)</f>
        <v>361</v>
      </c>
      <c r="E6" s="161">
        <f>IF($A6="","",'Capital purchases'!I10)</f>
        <v>0</v>
      </c>
      <c r="H6" s="3">
        <f t="shared" ref="H6:S6" si="4">IF(AND(H$5&gt;=$C6,H$5&lt;=$D6),$E6,0)</f>
        <v>0</v>
      </c>
      <c r="I6" s="3">
        <f t="shared" si="4"/>
        <v>0</v>
      </c>
      <c r="J6" s="3">
        <f t="shared" si="4"/>
        <v>0</v>
      </c>
      <c r="K6" s="3">
        <f t="shared" si="4"/>
        <v>0</v>
      </c>
      <c r="L6" s="3">
        <f t="shared" si="4"/>
        <v>0</v>
      </c>
      <c r="M6" s="3">
        <f t="shared" si="4"/>
        <v>0</v>
      </c>
      <c r="N6" s="3">
        <f t="shared" si="4"/>
        <v>0</v>
      </c>
      <c r="O6" s="3">
        <f t="shared" si="4"/>
        <v>0</v>
      </c>
      <c r="P6" s="3">
        <f t="shared" si="4"/>
        <v>0</v>
      </c>
      <c r="Q6" s="3">
        <f t="shared" si="4"/>
        <v>0</v>
      </c>
      <c r="R6" s="3">
        <f t="shared" si="4"/>
        <v>0</v>
      </c>
      <c r="S6" s="3">
        <f t="shared" si="4"/>
        <v>0</v>
      </c>
      <c r="U6" s="3">
        <f t="shared" ref="U6:AF6" si="5">IF(AND(U$5&gt;=$C6,U$5&lt;=$D6),$E6,0)</f>
        <v>0</v>
      </c>
      <c r="V6" s="3">
        <f t="shared" si="5"/>
        <v>0</v>
      </c>
      <c r="W6" s="3">
        <f t="shared" si="5"/>
        <v>0</v>
      </c>
      <c r="X6" s="3">
        <f t="shared" si="5"/>
        <v>0</v>
      </c>
      <c r="Y6" s="3">
        <f t="shared" si="5"/>
        <v>0</v>
      </c>
      <c r="Z6" s="3">
        <f t="shared" si="5"/>
        <v>0</v>
      </c>
      <c r="AA6" s="3">
        <f t="shared" si="5"/>
        <v>0</v>
      </c>
      <c r="AB6" s="3">
        <f t="shared" si="5"/>
        <v>0</v>
      </c>
      <c r="AC6" s="3">
        <f t="shared" si="5"/>
        <v>0</v>
      </c>
      <c r="AD6" s="3">
        <f t="shared" si="5"/>
        <v>0</v>
      </c>
      <c r="AE6" s="3">
        <f t="shared" si="5"/>
        <v>0</v>
      </c>
      <c r="AF6" s="3">
        <f t="shared" si="5"/>
        <v>0</v>
      </c>
      <c r="AH6" s="3">
        <f t="shared" ref="AH6:AS6" si="6">IF(AND(AH$5&gt;=$C6,AH$5&lt;=$D6),$E6,0)</f>
        <v>0</v>
      </c>
      <c r="AI6" s="3">
        <f t="shared" si="6"/>
        <v>0</v>
      </c>
      <c r="AJ6" s="3">
        <f t="shared" si="6"/>
        <v>0</v>
      </c>
      <c r="AK6" s="3">
        <f t="shared" si="6"/>
        <v>0</v>
      </c>
      <c r="AL6" s="3">
        <f t="shared" si="6"/>
        <v>0</v>
      </c>
      <c r="AM6" s="3">
        <f t="shared" si="6"/>
        <v>0</v>
      </c>
      <c r="AN6" s="3">
        <f t="shared" si="6"/>
        <v>0</v>
      </c>
      <c r="AO6" s="3">
        <f t="shared" si="6"/>
        <v>0</v>
      </c>
      <c r="AP6" s="3">
        <f t="shared" si="6"/>
        <v>0</v>
      </c>
      <c r="AQ6" s="3">
        <f t="shared" si="6"/>
        <v>0</v>
      </c>
      <c r="AR6" s="3">
        <f t="shared" si="6"/>
        <v>0</v>
      </c>
      <c r="AS6" s="3">
        <f t="shared" si="6"/>
        <v>0</v>
      </c>
      <c r="AU6" s="3">
        <f t="shared" ref="AU6:BF6" si="7">IF(AND(AU$5&gt;=$C6,AU$5&lt;=$D6),$E6,0)</f>
        <v>0</v>
      </c>
      <c r="AV6" s="3">
        <f t="shared" si="7"/>
        <v>0</v>
      </c>
      <c r="AW6" s="3">
        <f t="shared" si="7"/>
        <v>0</v>
      </c>
      <c r="AX6" s="3">
        <f t="shared" si="7"/>
        <v>0</v>
      </c>
      <c r="AY6" s="3">
        <f t="shared" si="7"/>
        <v>0</v>
      </c>
      <c r="AZ6" s="3">
        <f t="shared" si="7"/>
        <v>0</v>
      </c>
      <c r="BA6" s="3">
        <f t="shared" si="7"/>
        <v>0</v>
      </c>
      <c r="BB6" s="3">
        <f t="shared" si="7"/>
        <v>0</v>
      </c>
      <c r="BC6" s="3">
        <f t="shared" si="7"/>
        <v>0</v>
      </c>
      <c r="BD6" s="3">
        <f t="shared" si="7"/>
        <v>0</v>
      </c>
      <c r="BE6" s="3">
        <f t="shared" si="7"/>
        <v>0</v>
      </c>
      <c r="BF6" s="3">
        <f t="shared" si="7"/>
        <v>0</v>
      </c>
      <c r="BG6" s="2"/>
      <c r="BH6" s="3">
        <f t="shared" ref="BH6:BS6" si="8">IF(AND(BH$5&gt;=$C6,BH$5&lt;=$D6),$E6,0)</f>
        <v>0</v>
      </c>
      <c r="BI6" s="3">
        <f t="shared" si="8"/>
        <v>0</v>
      </c>
      <c r="BJ6" s="3">
        <f t="shared" si="8"/>
        <v>0</v>
      </c>
      <c r="BK6" s="3">
        <f t="shared" si="8"/>
        <v>0</v>
      </c>
      <c r="BL6" s="3">
        <f t="shared" si="8"/>
        <v>0</v>
      </c>
      <c r="BM6" s="3">
        <f t="shared" si="8"/>
        <v>0</v>
      </c>
      <c r="BN6" s="3">
        <f t="shared" si="8"/>
        <v>0</v>
      </c>
      <c r="BO6" s="3">
        <f t="shared" si="8"/>
        <v>0</v>
      </c>
      <c r="BP6" s="3">
        <f t="shared" si="8"/>
        <v>0</v>
      </c>
      <c r="BQ6" s="3">
        <f t="shared" si="8"/>
        <v>0</v>
      </c>
      <c r="BR6" s="3">
        <f t="shared" si="8"/>
        <v>0</v>
      </c>
      <c r="BS6" s="3">
        <f t="shared" si="8"/>
        <v>0</v>
      </c>
      <c r="BT6" s="2"/>
    </row>
    <row r="7" spans="1:73" ht="14.5">
      <c r="A7" s="54" t="str">
        <f>IF('Capital purchases'!C11="","",'Capital purchases'!C11)</f>
        <v>Renovation</v>
      </c>
      <c r="B7" s="2"/>
      <c r="C7" s="2">
        <f>IF($A7="","",'Capital purchases'!B11)</f>
        <v>1</v>
      </c>
      <c r="D7" s="3">
        <f>IF($A7="","",'Capital purchases'!J11)</f>
        <v>361</v>
      </c>
      <c r="E7" s="161">
        <f>IF($A7="","",'Capital purchases'!I11)</f>
        <v>139</v>
      </c>
      <c r="H7" s="3">
        <f t="shared" ref="H7:S7" si="9">IF(AND(H$5&gt;=$C7,H$5&lt;=$D7),$E7,0)</f>
        <v>139</v>
      </c>
      <c r="I7" s="3">
        <f t="shared" si="9"/>
        <v>139</v>
      </c>
      <c r="J7" s="3">
        <f t="shared" si="9"/>
        <v>139</v>
      </c>
      <c r="K7" s="3">
        <f t="shared" si="9"/>
        <v>139</v>
      </c>
      <c r="L7" s="3">
        <f t="shared" si="9"/>
        <v>139</v>
      </c>
      <c r="M7" s="3">
        <f t="shared" si="9"/>
        <v>139</v>
      </c>
      <c r="N7" s="3">
        <f t="shared" si="9"/>
        <v>139</v>
      </c>
      <c r="O7" s="3">
        <f t="shared" si="9"/>
        <v>139</v>
      </c>
      <c r="P7" s="3">
        <f t="shared" si="9"/>
        <v>139</v>
      </c>
      <c r="Q7" s="3">
        <f t="shared" si="9"/>
        <v>139</v>
      </c>
      <c r="R7" s="3">
        <f t="shared" si="9"/>
        <v>139</v>
      </c>
      <c r="S7" s="3">
        <f t="shared" si="9"/>
        <v>139</v>
      </c>
      <c r="U7" s="3">
        <f t="shared" ref="U7:AF7" si="10">IF(AND(U$5&gt;=$C7,U$5&lt;=$D7),$E7,0)</f>
        <v>139</v>
      </c>
      <c r="V7" s="3">
        <f t="shared" si="10"/>
        <v>139</v>
      </c>
      <c r="W7" s="3">
        <f t="shared" si="10"/>
        <v>139</v>
      </c>
      <c r="X7" s="3">
        <f t="shared" si="10"/>
        <v>139</v>
      </c>
      <c r="Y7" s="3">
        <f t="shared" si="10"/>
        <v>139</v>
      </c>
      <c r="Z7" s="3">
        <f t="shared" si="10"/>
        <v>139</v>
      </c>
      <c r="AA7" s="3">
        <f t="shared" si="10"/>
        <v>139</v>
      </c>
      <c r="AB7" s="3">
        <f t="shared" si="10"/>
        <v>139</v>
      </c>
      <c r="AC7" s="3">
        <f t="shared" si="10"/>
        <v>139</v>
      </c>
      <c r="AD7" s="3">
        <f t="shared" si="10"/>
        <v>139</v>
      </c>
      <c r="AE7" s="3">
        <f t="shared" si="10"/>
        <v>139</v>
      </c>
      <c r="AF7" s="3">
        <f t="shared" si="10"/>
        <v>139</v>
      </c>
      <c r="AH7" s="3">
        <f t="shared" ref="AH7:AS7" si="11">IF(AND(AH$5&gt;=$C7,AH$5&lt;=$D7),$E7,0)</f>
        <v>139</v>
      </c>
      <c r="AI7" s="3">
        <f t="shared" si="11"/>
        <v>139</v>
      </c>
      <c r="AJ7" s="3">
        <f t="shared" si="11"/>
        <v>139</v>
      </c>
      <c r="AK7" s="3">
        <f t="shared" si="11"/>
        <v>139</v>
      </c>
      <c r="AL7" s="3">
        <f t="shared" si="11"/>
        <v>139</v>
      </c>
      <c r="AM7" s="3">
        <f t="shared" si="11"/>
        <v>139</v>
      </c>
      <c r="AN7" s="3">
        <f t="shared" si="11"/>
        <v>139</v>
      </c>
      <c r="AO7" s="3">
        <f t="shared" si="11"/>
        <v>139</v>
      </c>
      <c r="AP7" s="3">
        <f t="shared" si="11"/>
        <v>139</v>
      </c>
      <c r="AQ7" s="3">
        <f t="shared" si="11"/>
        <v>139</v>
      </c>
      <c r="AR7" s="3">
        <f t="shared" si="11"/>
        <v>139</v>
      </c>
      <c r="AS7" s="3">
        <f t="shared" si="11"/>
        <v>139</v>
      </c>
      <c r="AU7" s="3">
        <f t="shared" ref="AU7:BF7" si="12">IF(AND(AU$5&gt;=$C7,AU$5&lt;=$D7),$E7,0)</f>
        <v>139</v>
      </c>
      <c r="AV7" s="3">
        <f t="shared" si="12"/>
        <v>139</v>
      </c>
      <c r="AW7" s="3">
        <f t="shared" si="12"/>
        <v>139</v>
      </c>
      <c r="AX7" s="3">
        <f t="shared" si="12"/>
        <v>139</v>
      </c>
      <c r="AY7" s="3">
        <f t="shared" si="12"/>
        <v>139</v>
      </c>
      <c r="AZ7" s="3">
        <f t="shared" si="12"/>
        <v>139</v>
      </c>
      <c r="BA7" s="3">
        <f t="shared" si="12"/>
        <v>139</v>
      </c>
      <c r="BB7" s="3">
        <f t="shared" si="12"/>
        <v>139</v>
      </c>
      <c r="BC7" s="3">
        <f t="shared" si="12"/>
        <v>139</v>
      </c>
      <c r="BD7" s="3">
        <f t="shared" si="12"/>
        <v>139</v>
      </c>
      <c r="BE7" s="3">
        <f t="shared" si="12"/>
        <v>139</v>
      </c>
      <c r="BF7" s="3">
        <f t="shared" si="12"/>
        <v>139</v>
      </c>
      <c r="BG7" s="2"/>
      <c r="BH7" s="3">
        <f t="shared" ref="BH7:BS7" si="13">IF(AND(BH$5&gt;=$C7,BH$5&lt;=$D7),$E7,0)</f>
        <v>139</v>
      </c>
      <c r="BI7" s="3">
        <f t="shared" si="13"/>
        <v>139</v>
      </c>
      <c r="BJ7" s="3">
        <f t="shared" si="13"/>
        <v>139</v>
      </c>
      <c r="BK7" s="3">
        <f t="shared" si="13"/>
        <v>139</v>
      </c>
      <c r="BL7" s="3">
        <f t="shared" si="13"/>
        <v>139</v>
      </c>
      <c r="BM7" s="3">
        <f t="shared" si="13"/>
        <v>139</v>
      </c>
      <c r="BN7" s="3">
        <f t="shared" si="13"/>
        <v>139</v>
      </c>
      <c r="BO7" s="3">
        <f t="shared" si="13"/>
        <v>139</v>
      </c>
      <c r="BP7" s="3">
        <f t="shared" si="13"/>
        <v>139</v>
      </c>
      <c r="BQ7" s="3">
        <f t="shared" si="13"/>
        <v>139</v>
      </c>
      <c r="BR7" s="3">
        <f t="shared" si="13"/>
        <v>139</v>
      </c>
      <c r="BS7" s="3">
        <f t="shared" si="13"/>
        <v>139</v>
      </c>
      <c r="BT7" s="2"/>
    </row>
    <row r="8" spans="1:73" ht="14.5">
      <c r="A8" s="54" t="str">
        <f>IF('Capital purchases'!C12="","",'Capital purchases'!C12)</f>
        <v>Brewhouse, 5 fermentors, HLT, CLT, mill, chiller, 12 serving tanks, two foeders, hand pump, 2 HMI panels</v>
      </c>
      <c r="B8" s="2"/>
      <c r="C8" s="2">
        <f>IF($A8="","",'Capital purchases'!B12)</f>
        <v>1</v>
      </c>
      <c r="D8" s="3">
        <f>IF($A8="","",'Capital purchases'!J12)</f>
        <v>361</v>
      </c>
      <c r="E8" s="161">
        <f>IF($A8="","",'Capital purchases'!I12)</f>
        <v>0</v>
      </c>
      <c r="H8" s="3">
        <f t="shared" ref="H8:S8" si="14">IF(AND(H$5&gt;=$C8,H$5&lt;=$D8),$E8,0)</f>
        <v>0</v>
      </c>
      <c r="I8" s="3">
        <f t="shared" si="14"/>
        <v>0</v>
      </c>
      <c r="J8" s="3">
        <f t="shared" si="14"/>
        <v>0</v>
      </c>
      <c r="K8" s="3">
        <f t="shared" si="14"/>
        <v>0</v>
      </c>
      <c r="L8" s="3">
        <f t="shared" si="14"/>
        <v>0</v>
      </c>
      <c r="M8" s="3">
        <f t="shared" si="14"/>
        <v>0</v>
      </c>
      <c r="N8" s="3">
        <f t="shared" si="14"/>
        <v>0</v>
      </c>
      <c r="O8" s="3">
        <f t="shared" si="14"/>
        <v>0</v>
      </c>
      <c r="P8" s="3">
        <f t="shared" si="14"/>
        <v>0</v>
      </c>
      <c r="Q8" s="3">
        <f t="shared" si="14"/>
        <v>0</v>
      </c>
      <c r="R8" s="3">
        <f t="shared" si="14"/>
        <v>0</v>
      </c>
      <c r="S8" s="3">
        <f t="shared" si="14"/>
        <v>0</v>
      </c>
      <c r="U8" s="3">
        <f t="shared" ref="U8:AF8" si="15">IF(AND(U$5&gt;=$C8,U$5&lt;=$D8),$E8,0)</f>
        <v>0</v>
      </c>
      <c r="V8" s="3">
        <f t="shared" si="15"/>
        <v>0</v>
      </c>
      <c r="W8" s="3">
        <f t="shared" si="15"/>
        <v>0</v>
      </c>
      <c r="X8" s="3">
        <f t="shared" si="15"/>
        <v>0</v>
      </c>
      <c r="Y8" s="3">
        <f t="shared" si="15"/>
        <v>0</v>
      </c>
      <c r="Z8" s="3">
        <f t="shared" si="15"/>
        <v>0</v>
      </c>
      <c r="AA8" s="3">
        <f t="shared" si="15"/>
        <v>0</v>
      </c>
      <c r="AB8" s="3">
        <f t="shared" si="15"/>
        <v>0</v>
      </c>
      <c r="AC8" s="3">
        <f t="shared" si="15"/>
        <v>0</v>
      </c>
      <c r="AD8" s="3">
        <f t="shared" si="15"/>
        <v>0</v>
      </c>
      <c r="AE8" s="3">
        <f t="shared" si="15"/>
        <v>0</v>
      </c>
      <c r="AF8" s="3">
        <f t="shared" si="15"/>
        <v>0</v>
      </c>
      <c r="AH8" s="3">
        <f t="shared" ref="AH8:AS8" si="16">IF(AND(AH$5&gt;=$C8,AH$5&lt;=$D8),$E8,0)</f>
        <v>0</v>
      </c>
      <c r="AI8" s="3">
        <f t="shared" si="16"/>
        <v>0</v>
      </c>
      <c r="AJ8" s="3">
        <f t="shared" si="16"/>
        <v>0</v>
      </c>
      <c r="AK8" s="3">
        <f t="shared" si="16"/>
        <v>0</v>
      </c>
      <c r="AL8" s="3">
        <f t="shared" si="16"/>
        <v>0</v>
      </c>
      <c r="AM8" s="3">
        <f t="shared" si="16"/>
        <v>0</v>
      </c>
      <c r="AN8" s="3">
        <f t="shared" si="16"/>
        <v>0</v>
      </c>
      <c r="AO8" s="3">
        <f t="shared" si="16"/>
        <v>0</v>
      </c>
      <c r="AP8" s="3">
        <f t="shared" si="16"/>
        <v>0</v>
      </c>
      <c r="AQ8" s="3">
        <f t="shared" si="16"/>
        <v>0</v>
      </c>
      <c r="AR8" s="3">
        <f t="shared" si="16"/>
        <v>0</v>
      </c>
      <c r="AS8" s="3">
        <f t="shared" si="16"/>
        <v>0</v>
      </c>
      <c r="AU8" s="3">
        <f t="shared" ref="AU8:BF8" si="17">IF(AND(AU$5&gt;=$C8,AU$5&lt;=$D8),$E8,0)</f>
        <v>0</v>
      </c>
      <c r="AV8" s="3">
        <f t="shared" si="17"/>
        <v>0</v>
      </c>
      <c r="AW8" s="3">
        <f t="shared" si="17"/>
        <v>0</v>
      </c>
      <c r="AX8" s="3">
        <f t="shared" si="17"/>
        <v>0</v>
      </c>
      <c r="AY8" s="3">
        <f t="shared" si="17"/>
        <v>0</v>
      </c>
      <c r="AZ8" s="3">
        <f t="shared" si="17"/>
        <v>0</v>
      </c>
      <c r="BA8" s="3">
        <f t="shared" si="17"/>
        <v>0</v>
      </c>
      <c r="BB8" s="3">
        <f t="shared" si="17"/>
        <v>0</v>
      </c>
      <c r="BC8" s="3">
        <f t="shared" si="17"/>
        <v>0</v>
      </c>
      <c r="BD8" s="3">
        <f t="shared" si="17"/>
        <v>0</v>
      </c>
      <c r="BE8" s="3">
        <f t="shared" si="17"/>
        <v>0</v>
      </c>
      <c r="BF8" s="3">
        <f t="shared" si="17"/>
        <v>0</v>
      </c>
      <c r="BG8" s="2"/>
      <c r="BH8" s="3">
        <f t="shared" ref="BH8:BS8" si="18">IF(AND(BH$5&gt;=$C8,BH$5&lt;=$D8),$E8,0)</f>
        <v>0</v>
      </c>
      <c r="BI8" s="3">
        <f t="shared" si="18"/>
        <v>0</v>
      </c>
      <c r="BJ8" s="3">
        <f t="shared" si="18"/>
        <v>0</v>
      </c>
      <c r="BK8" s="3">
        <f t="shared" si="18"/>
        <v>0</v>
      </c>
      <c r="BL8" s="3">
        <f t="shared" si="18"/>
        <v>0</v>
      </c>
      <c r="BM8" s="3">
        <f t="shared" si="18"/>
        <v>0</v>
      </c>
      <c r="BN8" s="3">
        <f t="shared" si="18"/>
        <v>0</v>
      </c>
      <c r="BO8" s="3">
        <f t="shared" si="18"/>
        <v>0</v>
      </c>
      <c r="BP8" s="3">
        <f t="shared" si="18"/>
        <v>0</v>
      </c>
      <c r="BQ8" s="3">
        <f t="shared" si="18"/>
        <v>0</v>
      </c>
      <c r="BR8" s="3">
        <f t="shared" si="18"/>
        <v>0</v>
      </c>
      <c r="BS8" s="3">
        <f t="shared" si="18"/>
        <v>0</v>
      </c>
      <c r="BT8" s="2"/>
    </row>
    <row r="9" spans="1:73" ht="14.5">
      <c r="A9" s="54" t="str">
        <f>IF('Capital purchases'!C13="","",'Capital purchases'!C13)</f>
        <v>Keg Washer (Keg Commander)</v>
      </c>
      <c r="B9" s="2"/>
      <c r="C9" s="2">
        <f>IF($A9="","",'Capital purchases'!B13)</f>
        <v>1</v>
      </c>
      <c r="D9" s="3">
        <f>IF($A9="","",'Capital purchases'!J13)</f>
        <v>361</v>
      </c>
      <c r="E9" s="161">
        <f>IF($A9="","",'Capital purchases'!I13)</f>
        <v>42</v>
      </c>
      <c r="H9" s="3">
        <f t="shared" ref="H9:S9" si="19">IF(AND(H$5&gt;=$C9,H$5&lt;=$D9),$E9,0)</f>
        <v>42</v>
      </c>
      <c r="I9" s="3">
        <f t="shared" si="19"/>
        <v>42</v>
      </c>
      <c r="J9" s="3">
        <f t="shared" si="19"/>
        <v>42</v>
      </c>
      <c r="K9" s="3">
        <f t="shared" si="19"/>
        <v>42</v>
      </c>
      <c r="L9" s="3">
        <f t="shared" si="19"/>
        <v>42</v>
      </c>
      <c r="M9" s="3">
        <f t="shared" si="19"/>
        <v>42</v>
      </c>
      <c r="N9" s="3">
        <f t="shared" si="19"/>
        <v>42</v>
      </c>
      <c r="O9" s="3">
        <f t="shared" si="19"/>
        <v>42</v>
      </c>
      <c r="P9" s="3">
        <f t="shared" si="19"/>
        <v>42</v>
      </c>
      <c r="Q9" s="3">
        <f t="shared" si="19"/>
        <v>42</v>
      </c>
      <c r="R9" s="3">
        <f t="shared" si="19"/>
        <v>42</v>
      </c>
      <c r="S9" s="3">
        <f t="shared" si="19"/>
        <v>42</v>
      </c>
      <c r="U9" s="3">
        <f t="shared" ref="U9:AF9" si="20">IF(AND(U$5&gt;=$C9,U$5&lt;=$D9),$E9,0)</f>
        <v>42</v>
      </c>
      <c r="V9" s="3">
        <f t="shared" si="20"/>
        <v>42</v>
      </c>
      <c r="W9" s="3">
        <f t="shared" si="20"/>
        <v>42</v>
      </c>
      <c r="X9" s="3">
        <f t="shared" si="20"/>
        <v>42</v>
      </c>
      <c r="Y9" s="3">
        <f t="shared" si="20"/>
        <v>42</v>
      </c>
      <c r="Z9" s="3">
        <f t="shared" si="20"/>
        <v>42</v>
      </c>
      <c r="AA9" s="3">
        <f t="shared" si="20"/>
        <v>42</v>
      </c>
      <c r="AB9" s="3">
        <f t="shared" si="20"/>
        <v>42</v>
      </c>
      <c r="AC9" s="3">
        <f t="shared" si="20"/>
        <v>42</v>
      </c>
      <c r="AD9" s="3">
        <f t="shared" si="20"/>
        <v>42</v>
      </c>
      <c r="AE9" s="3">
        <f t="shared" si="20"/>
        <v>42</v>
      </c>
      <c r="AF9" s="3">
        <f t="shared" si="20"/>
        <v>42</v>
      </c>
      <c r="AH9" s="3">
        <f t="shared" ref="AH9:AS9" si="21">IF(AND(AH$5&gt;=$C9,AH$5&lt;=$D9),$E9,0)</f>
        <v>42</v>
      </c>
      <c r="AI9" s="3">
        <f t="shared" si="21"/>
        <v>42</v>
      </c>
      <c r="AJ9" s="3">
        <f t="shared" si="21"/>
        <v>42</v>
      </c>
      <c r="AK9" s="3">
        <f t="shared" si="21"/>
        <v>42</v>
      </c>
      <c r="AL9" s="3">
        <f t="shared" si="21"/>
        <v>42</v>
      </c>
      <c r="AM9" s="3">
        <f t="shared" si="21"/>
        <v>42</v>
      </c>
      <c r="AN9" s="3">
        <f t="shared" si="21"/>
        <v>42</v>
      </c>
      <c r="AO9" s="3">
        <f t="shared" si="21"/>
        <v>42</v>
      </c>
      <c r="AP9" s="3">
        <f t="shared" si="21"/>
        <v>42</v>
      </c>
      <c r="AQ9" s="3">
        <f t="shared" si="21"/>
        <v>42</v>
      </c>
      <c r="AR9" s="3">
        <f t="shared" si="21"/>
        <v>42</v>
      </c>
      <c r="AS9" s="3">
        <f t="shared" si="21"/>
        <v>42</v>
      </c>
      <c r="AU9" s="3">
        <f t="shared" ref="AU9:BF9" si="22">IF(AND(AU$5&gt;=$C9,AU$5&lt;=$D9),$E9,0)</f>
        <v>42</v>
      </c>
      <c r="AV9" s="3">
        <f t="shared" si="22"/>
        <v>42</v>
      </c>
      <c r="AW9" s="3">
        <f t="shared" si="22"/>
        <v>42</v>
      </c>
      <c r="AX9" s="3">
        <f t="shared" si="22"/>
        <v>42</v>
      </c>
      <c r="AY9" s="3">
        <f t="shared" si="22"/>
        <v>42</v>
      </c>
      <c r="AZ9" s="3">
        <f t="shared" si="22"/>
        <v>42</v>
      </c>
      <c r="BA9" s="3">
        <f t="shared" si="22"/>
        <v>42</v>
      </c>
      <c r="BB9" s="3">
        <f t="shared" si="22"/>
        <v>42</v>
      </c>
      <c r="BC9" s="3">
        <f t="shared" si="22"/>
        <v>42</v>
      </c>
      <c r="BD9" s="3">
        <f t="shared" si="22"/>
        <v>42</v>
      </c>
      <c r="BE9" s="3">
        <f t="shared" si="22"/>
        <v>42</v>
      </c>
      <c r="BF9" s="3">
        <f t="shared" si="22"/>
        <v>42</v>
      </c>
      <c r="BG9" s="2"/>
      <c r="BH9" s="3">
        <f t="shared" ref="BH9:BS9" si="23">IF(AND(BH$5&gt;=$C9,BH$5&lt;=$D9),$E9,0)</f>
        <v>42</v>
      </c>
      <c r="BI9" s="3">
        <f t="shared" si="23"/>
        <v>42</v>
      </c>
      <c r="BJ9" s="3">
        <f t="shared" si="23"/>
        <v>42</v>
      </c>
      <c r="BK9" s="3">
        <f t="shared" si="23"/>
        <v>42</v>
      </c>
      <c r="BL9" s="3">
        <f t="shared" si="23"/>
        <v>42</v>
      </c>
      <c r="BM9" s="3">
        <f t="shared" si="23"/>
        <v>42</v>
      </c>
      <c r="BN9" s="3">
        <f t="shared" si="23"/>
        <v>42</v>
      </c>
      <c r="BO9" s="3">
        <f t="shared" si="23"/>
        <v>42</v>
      </c>
      <c r="BP9" s="3">
        <f t="shared" si="23"/>
        <v>42</v>
      </c>
      <c r="BQ9" s="3">
        <f t="shared" si="23"/>
        <v>42</v>
      </c>
      <c r="BR9" s="3">
        <f t="shared" si="23"/>
        <v>42</v>
      </c>
      <c r="BS9" s="3">
        <f t="shared" si="23"/>
        <v>42</v>
      </c>
      <c r="BT9" s="2"/>
    </row>
    <row r="10" spans="1:73" ht="14.5">
      <c r="A10" s="54" t="str">
        <f>IF('Capital purchases'!C14="","",'Capital purchases'!C14)</f>
        <v>RO Filter</v>
      </c>
      <c r="B10" s="2"/>
      <c r="C10" s="2">
        <f>IF($A10="","",'Capital purchases'!B14)</f>
        <v>1</v>
      </c>
      <c r="D10" s="3">
        <f>IF($A10="","",'Capital purchases'!J14)</f>
        <v>361</v>
      </c>
      <c r="E10" s="161">
        <f>IF($A10="","",'Capital purchases'!I14)</f>
        <v>33</v>
      </c>
      <c r="H10" s="3">
        <f t="shared" ref="H10:S10" si="24">IF(AND(H$5&gt;=$C10,H$5&lt;=$D10),$E10,0)</f>
        <v>33</v>
      </c>
      <c r="I10" s="3">
        <f t="shared" si="24"/>
        <v>33</v>
      </c>
      <c r="J10" s="3">
        <f t="shared" si="24"/>
        <v>33</v>
      </c>
      <c r="K10" s="3">
        <f t="shared" si="24"/>
        <v>33</v>
      </c>
      <c r="L10" s="3">
        <f t="shared" si="24"/>
        <v>33</v>
      </c>
      <c r="M10" s="3">
        <f t="shared" si="24"/>
        <v>33</v>
      </c>
      <c r="N10" s="3">
        <f t="shared" si="24"/>
        <v>33</v>
      </c>
      <c r="O10" s="3">
        <f t="shared" si="24"/>
        <v>33</v>
      </c>
      <c r="P10" s="3">
        <f t="shared" si="24"/>
        <v>33</v>
      </c>
      <c r="Q10" s="3">
        <f t="shared" si="24"/>
        <v>33</v>
      </c>
      <c r="R10" s="3">
        <f t="shared" si="24"/>
        <v>33</v>
      </c>
      <c r="S10" s="3">
        <f t="shared" si="24"/>
        <v>33</v>
      </c>
      <c r="U10" s="3">
        <f t="shared" ref="U10:AF10" si="25">IF(AND(U$5&gt;=$C10,U$5&lt;=$D10),$E10,0)</f>
        <v>33</v>
      </c>
      <c r="V10" s="3">
        <f t="shared" si="25"/>
        <v>33</v>
      </c>
      <c r="W10" s="3">
        <f t="shared" si="25"/>
        <v>33</v>
      </c>
      <c r="X10" s="3">
        <f t="shared" si="25"/>
        <v>33</v>
      </c>
      <c r="Y10" s="3">
        <f t="shared" si="25"/>
        <v>33</v>
      </c>
      <c r="Z10" s="3">
        <f t="shared" si="25"/>
        <v>33</v>
      </c>
      <c r="AA10" s="3">
        <f t="shared" si="25"/>
        <v>33</v>
      </c>
      <c r="AB10" s="3">
        <f t="shared" si="25"/>
        <v>33</v>
      </c>
      <c r="AC10" s="3">
        <f t="shared" si="25"/>
        <v>33</v>
      </c>
      <c r="AD10" s="3">
        <f t="shared" si="25"/>
        <v>33</v>
      </c>
      <c r="AE10" s="3">
        <f t="shared" si="25"/>
        <v>33</v>
      </c>
      <c r="AF10" s="3">
        <f t="shared" si="25"/>
        <v>33</v>
      </c>
      <c r="AH10" s="3">
        <f t="shared" ref="AH10:AS10" si="26">IF(AND(AH$5&gt;=$C10,AH$5&lt;=$D10),$E10,0)</f>
        <v>33</v>
      </c>
      <c r="AI10" s="3">
        <f t="shared" si="26"/>
        <v>33</v>
      </c>
      <c r="AJ10" s="3">
        <f t="shared" si="26"/>
        <v>33</v>
      </c>
      <c r="AK10" s="3">
        <f t="shared" si="26"/>
        <v>33</v>
      </c>
      <c r="AL10" s="3">
        <f t="shared" si="26"/>
        <v>33</v>
      </c>
      <c r="AM10" s="3">
        <f t="shared" si="26"/>
        <v>33</v>
      </c>
      <c r="AN10" s="3">
        <f t="shared" si="26"/>
        <v>33</v>
      </c>
      <c r="AO10" s="3">
        <f t="shared" si="26"/>
        <v>33</v>
      </c>
      <c r="AP10" s="3">
        <f t="shared" si="26"/>
        <v>33</v>
      </c>
      <c r="AQ10" s="3">
        <f t="shared" si="26"/>
        <v>33</v>
      </c>
      <c r="AR10" s="3">
        <f t="shared" si="26"/>
        <v>33</v>
      </c>
      <c r="AS10" s="3">
        <f t="shared" si="26"/>
        <v>33</v>
      </c>
      <c r="AU10" s="3">
        <f t="shared" ref="AU10:BF10" si="27">IF(AND(AU$5&gt;=$C10,AU$5&lt;=$D10),$E10,0)</f>
        <v>33</v>
      </c>
      <c r="AV10" s="3">
        <f t="shared" si="27"/>
        <v>33</v>
      </c>
      <c r="AW10" s="3">
        <f t="shared" si="27"/>
        <v>33</v>
      </c>
      <c r="AX10" s="3">
        <f t="shared" si="27"/>
        <v>33</v>
      </c>
      <c r="AY10" s="3">
        <f t="shared" si="27"/>
        <v>33</v>
      </c>
      <c r="AZ10" s="3">
        <f t="shared" si="27"/>
        <v>33</v>
      </c>
      <c r="BA10" s="3">
        <f t="shared" si="27"/>
        <v>33</v>
      </c>
      <c r="BB10" s="3">
        <f t="shared" si="27"/>
        <v>33</v>
      </c>
      <c r="BC10" s="3">
        <f t="shared" si="27"/>
        <v>33</v>
      </c>
      <c r="BD10" s="3">
        <f t="shared" si="27"/>
        <v>33</v>
      </c>
      <c r="BE10" s="3">
        <f t="shared" si="27"/>
        <v>33</v>
      </c>
      <c r="BF10" s="3">
        <f t="shared" si="27"/>
        <v>33</v>
      </c>
      <c r="BG10" s="2"/>
      <c r="BH10" s="3">
        <f t="shared" ref="BH10:BS10" si="28">IF(AND(BH$5&gt;=$C10,BH$5&lt;=$D10),$E10,0)</f>
        <v>33</v>
      </c>
      <c r="BI10" s="3">
        <f t="shared" si="28"/>
        <v>33</v>
      </c>
      <c r="BJ10" s="3">
        <f t="shared" si="28"/>
        <v>33</v>
      </c>
      <c r="BK10" s="3">
        <f t="shared" si="28"/>
        <v>33</v>
      </c>
      <c r="BL10" s="3">
        <f t="shared" si="28"/>
        <v>33</v>
      </c>
      <c r="BM10" s="3">
        <f t="shared" si="28"/>
        <v>33</v>
      </c>
      <c r="BN10" s="3">
        <f t="shared" si="28"/>
        <v>33</v>
      </c>
      <c r="BO10" s="3">
        <f t="shared" si="28"/>
        <v>33</v>
      </c>
      <c r="BP10" s="3">
        <f t="shared" si="28"/>
        <v>33</v>
      </c>
      <c r="BQ10" s="3">
        <f t="shared" si="28"/>
        <v>33</v>
      </c>
      <c r="BR10" s="3">
        <f t="shared" si="28"/>
        <v>33</v>
      </c>
      <c r="BS10" s="3">
        <f t="shared" si="28"/>
        <v>33</v>
      </c>
      <c r="BT10" s="2"/>
    </row>
    <row r="11" spans="1:73" ht="14.5">
      <c r="A11" s="54" t="str">
        <f>IF('Capital purchases'!C15="","",'Capital purchases'!C15)</f>
        <v>Pilot brew system</v>
      </c>
      <c r="B11" s="2"/>
      <c r="C11" s="2">
        <f>IF($A11="","",'Capital purchases'!B15)</f>
        <v>1</v>
      </c>
      <c r="D11" s="3">
        <f>IF($A11="","",'Capital purchases'!J15)</f>
        <v>181</v>
      </c>
      <c r="E11" s="161">
        <f>IF($A11="","",'Capital purchases'!I15)</f>
        <v>0</v>
      </c>
      <c r="H11" s="3">
        <f t="shared" ref="H11:S11" si="29">IF(AND(H$5&gt;=$C11,H$5&lt;=$D11),$E11,0)</f>
        <v>0</v>
      </c>
      <c r="I11" s="3">
        <f t="shared" si="29"/>
        <v>0</v>
      </c>
      <c r="J11" s="3">
        <f t="shared" si="29"/>
        <v>0</v>
      </c>
      <c r="K11" s="3">
        <f t="shared" si="29"/>
        <v>0</v>
      </c>
      <c r="L11" s="3">
        <f t="shared" si="29"/>
        <v>0</v>
      </c>
      <c r="M11" s="3">
        <f t="shared" si="29"/>
        <v>0</v>
      </c>
      <c r="N11" s="3">
        <f t="shared" si="29"/>
        <v>0</v>
      </c>
      <c r="O11" s="3">
        <f t="shared" si="29"/>
        <v>0</v>
      </c>
      <c r="P11" s="3">
        <f t="shared" si="29"/>
        <v>0</v>
      </c>
      <c r="Q11" s="3">
        <f t="shared" si="29"/>
        <v>0</v>
      </c>
      <c r="R11" s="3">
        <f t="shared" si="29"/>
        <v>0</v>
      </c>
      <c r="S11" s="3">
        <f t="shared" si="29"/>
        <v>0</v>
      </c>
      <c r="U11" s="3">
        <f t="shared" ref="U11:AF11" si="30">IF(AND(U$5&gt;=$C11,U$5&lt;=$D11),$E11,0)</f>
        <v>0</v>
      </c>
      <c r="V11" s="3">
        <f t="shared" si="30"/>
        <v>0</v>
      </c>
      <c r="W11" s="3">
        <f t="shared" si="30"/>
        <v>0</v>
      </c>
      <c r="X11" s="3">
        <f t="shared" si="30"/>
        <v>0</v>
      </c>
      <c r="Y11" s="3">
        <f t="shared" si="30"/>
        <v>0</v>
      </c>
      <c r="Z11" s="3">
        <f t="shared" si="30"/>
        <v>0</v>
      </c>
      <c r="AA11" s="3">
        <f t="shared" si="30"/>
        <v>0</v>
      </c>
      <c r="AB11" s="3">
        <f t="shared" si="30"/>
        <v>0</v>
      </c>
      <c r="AC11" s="3">
        <f t="shared" si="30"/>
        <v>0</v>
      </c>
      <c r="AD11" s="3">
        <f t="shared" si="30"/>
        <v>0</v>
      </c>
      <c r="AE11" s="3">
        <f t="shared" si="30"/>
        <v>0</v>
      </c>
      <c r="AF11" s="3">
        <f t="shared" si="30"/>
        <v>0</v>
      </c>
      <c r="AH11" s="3">
        <f t="shared" ref="AH11:AS11" si="31">IF(AND(AH$5&gt;=$C11,AH$5&lt;=$D11),$E11,0)</f>
        <v>0</v>
      </c>
      <c r="AI11" s="3">
        <f t="shared" si="31"/>
        <v>0</v>
      </c>
      <c r="AJ11" s="3">
        <f t="shared" si="31"/>
        <v>0</v>
      </c>
      <c r="AK11" s="3">
        <f t="shared" si="31"/>
        <v>0</v>
      </c>
      <c r="AL11" s="3">
        <f t="shared" si="31"/>
        <v>0</v>
      </c>
      <c r="AM11" s="3">
        <f t="shared" si="31"/>
        <v>0</v>
      </c>
      <c r="AN11" s="3">
        <f t="shared" si="31"/>
        <v>0</v>
      </c>
      <c r="AO11" s="3">
        <f t="shared" si="31"/>
        <v>0</v>
      </c>
      <c r="AP11" s="3">
        <f t="shared" si="31"/>
        <v>0</v>
      </c>
      <c r="AQ11" s="3">
        <f t="shared" si="31"/>
        <v>0</v>
      </c>
      <c r="AR11" s="3">
        <f t="shared" si="31"/>
        <v>0</v>
      </c>
      <c r="AS11" s="3">
        <f t="shared" si="31"/>
        <v>0</v>
      </c>
      <c r="AU11" s="3">
        <f t="shared" ref="AU11:BF11" si="32">IF(AND(AU$5&gt;=$C11,AU$5&lt;=$D11),$E11,0)</f>
        <v>0</v>
      </c>
      <c r="AV11" s="3">
        <f t="shared" si="32"/>
        <v>0</v>
      </c>
      <c r="AW11" s="3">
        <f t="shared" si="32"/>
        <v>0</v>
      </c>
      <c r="AX11" s="3">
        <f t="shared" si="32"/>
        <v>0</v>
      </c>
      <c r="AY11" s="3">
        <f t="shared" si="32"/>
        <v>0</v>
      </c>
      <c r="AZ11" s="3">
        <f t="shared" si="32"/>
        <v>0</v>
      </c>
      <c r="BA11" s="3">
        <f t="shared" si="32"/>
        <v>0</v>
      </c>
      <c r="BB11" s="3">
        <f t="shared" si="32"/>
        <v>0</v>
      </c>
      <c r="BC11" s="3">
        <f t="shared" si="32"/>
        <v>0</v>
      </c>
      <c r="BD11" s="3">
        <f t="shared" si="32"/>
        <v>0</v>
      </c>
      <c r="BE11" s="3">
        <f t="shared" si="32"/>
        <v>0</v>
      </c>
      <c r="BF11" s="3">
        <f t="shared" si="32"/>
        <v>0</v>
      </c>
      <c r="BG11" s="2"/>
      <c r="BH11" s="3">
        <f t="shared" ref="BH11:BS11" si="33">IF(AND(BH$5&gt;=$C11,BH$5&lt;=$D11),$E11,0)</f>
        <v>0</v>
      </c>
      <c r="BI11" s="3">
        <f t="shared" si="33"/>
        <v>0</v>
      </c>
      <c r="BJ11" s="3">
        <f t="shared" si="33"/>
        <v>0</v>
      </c>
      <c r="BK11" s="3">
        <f t="shared" si="33"/>
        <v>0</v>
      </c>
      <c r="BL11" s="3">
        <f t="shared" si="33"/>
        <v>0</v>
      </c>
      <c r="BM11" s="3">
        <f t="shared" si="33"/>
        <v>0</v>
      </c>
      <c r="BN11" s="3">
        <f t="shared" si="33"/>
        <v>0</v>
      </c>
      <c r="BO11" s="3">
        <f t="shared" si="33"/>
        <v>0</v>
      </c>
      <c r="BP11" s="3">
        <f t="shared" si="33"/>
        <v>0</v>
      </c>
      <c r="BQ11" s="3">
        <f t="shared" si="33"/>
        <v>0</v>
      </c>
      <c r="BR11" s="3">
        <f t="shared" si="33"/>
        <v>0</v>
      </c>
      <c r="BS11" s="3">
        <f t="shared" si="33"/>
        <v>0</v>
      </c>
      <c r="BT11" s="2"/>
    </row>
    <row r="12" spans="1:73" ht="14.5">
      <c r="A12" s="54" t="str">
        <f>IF('Capital purchases'!C16="","",'Capital purchases'!C16)</f>
        <v>Pilot fermentors x3</v>
      </c>
      <c r="B12" s="2"/>
      <c r="C12" s="2">
        <f>IF($A12="","",'Capital purchases'!B16)</f>
        <v>1</v>
      </c>
      <c r="D12" s="3">
        <f>IF($A12="","",'Capital purchases'!J16)</f>
        <v>181</v>
      </c>
      <c r="E12" s="161">
        <f>IF($A12="","",'Capital purchases'!I16)</f>
        <v>0</v>
      </c>
      <c r="H12" s="3">
        <f t="shared" ref="H12:S12" si="34">IF(AND(H$5&gt;=$C12,H$5&lt;=$D12),$E12,0)</f>
        <v>0</v>
      </c>
      <c r="I12" s="3">
        <f t="shared" si="34"/>
        <v>0</v>
      </c>
      <c r="J12" s="3">
        <f t="shared" si="34"/>
        <v>0</v>
      </c>
      <c r="K12" s="3">
        <f t="shared" si="34"/>
        <v>0</v>
      </c>
      <c r="L12" s="3">
        <f t="shared" si="34"/>
        <v>0</v>
      </c>
      <c r="M12" s="3">
        <f t="shared" si="34"/>
        <v>0</v>
      </c>
      <c r="N12" s="3">
        <f t="shared" si="34"/>
        <v>0</v>
      </c>
      <c r="O12" s="3">
        <f t="shared" si="34"/>
        <v>0</v>
      </c>
      <c r="P12" s="3">
        <f t="shared" si="34"/>
        <v>0</v>
      </c>
      <c r="Q12" s="3">
        <f t="shared" si="34"/>
        <v>0</v>
      </c>
      <c r="R12" s="3">
        <f t="shared" si="34"/>
        <v>0</v>
      </c>
      <c r="S12" s="3">
        <f t="shared" si="34"/>
        <v>0</v>
      </c>
      <c r="U12" s="3">
        <f t="shared" ref="U12:AF12" si="35">IF(AND(U$5&gt;=$C12,U$5&lt;=$D12),$E12,0)</f>
        <v>0</v>
      </c>
      <c r="V12" s="3">
        <f t="shared" si="35"/>
        <v>0</v>
      </c>
      <c r="W12" s="3">
        <f t="shared" si="35"/>
        <v>0</v>
      </c>
      <c r="X12" s="3">
        <f t="shared" si="35"/>
        <v>0</v>
      </c>
      <c r="Y12" s="3">
        <f t="shared" si="35"/>
        <v>0</v>
      </c>
      <c r="Z12" s="3">
        <f t="shared" si="35"/>
        <v>0</v>
      </c>
      <c r="AA12" s="3">
        <f t="shared" si="35"/>
        <v>0</v>
      </c>
      <c r="AB12" s="3">
        <f t="shared" si="35"/>
        <v>0</v>
      </c>
      <c r="AC12" s="3">
        <f t="shared" si="35"/>
        <v>0</v>
      </c>
      <c r="AD12" s="3">
        <f t="shared" si="35"/>
        <v>0</v>
      </c>
      <c r="AE12" s="3">
        <f t="shared" si="35"/>
        <v>0</v>
      </c>
      <c r="AF12" s="3">
        <f t="shared" si="35"/>
        <v>0</v>
      </c>
      <c r="AH12" s="3">
        <f t="shared" ref="AH12:AS12" si="36">IF(AND(AH$5&gt;=$C12,AH$5&lt;=$D12),$E12,0)</f>
        <v>0</v>
      </c>
      <c r="AI12" s="3">
        <f t="shared" si="36"/>
        <v>0</v>
      </c>
      <c r="AJ12" s="3">
        <f t="shared" si="36"/>
        <v>0</v>
      </c>
      <c r="AK12" s="3">
        <f t="shared" si="36"/>
        <v>0</v>
      </c>
      <c r="AL12" s="3">
        <f t="shared" si="36"/>
        <v>0</v>
      </c>
      <c r="AM12" s="3">
        <f t="shared" si="36"/>
        <v>0</v>
      </c>
      <c r="AN12" s="3">
        <f t="shared" si="36"/>
        <v>0</v>
      </c>
      <c r="AO12" s="3">
        <f t="shared" si="36"/>
        <v>0</v>
      </c>
      <c r="AP12" s="3">
        <f t="shared" si="36"/>
        <v>0</v>
      </c>
      <c r="AQ12" s="3">
        <f t="shared" si="36"/>
        <v>0</v>
      </c>
      <c r="AR12" s="3">
        <f t="shared" si="36"/>
        <v>0</v>
      </c>
      <c r="AS12" s="3">
        <f t="shared" si="36"/>
        <v>0</v>
      </c>
      <c r="AU12" s="3">
        <f t="shared" ref="AU12:BF12" si="37">IF(AND(AU$5&gt;=$C12,AU$5&lt;=$D12),$E12,0)</f>
        <v>0</v>
      </c>
      <c r="AV12" s="3">
        <f t="shared" si="37"/>
        <v>0</v>
      </c>
      <c r="AW12" s="3">
        <f t="shared" si="37"/>
        <v>0</v>
      </c>
      <c r="AX12" s="3">
        <f t="shared" si="37"/>
        <v>0</v>
      </c>
      <c r="AY12" s="3">
        <f t="shared" si="37"/>
        <v>0</v>
      </c>
      <c r="AZ12" s="3">
        <f t="shared" si="37"/>
        <v>0</v>
      </c>
      <c r="BA12" s="3">
        <f t="shared" si="37"/>
        <v>0</v>
      </c>
      <c r="BB12" s="3">
        <f t="shared" si="37"/>
        <v>0</v>
      </c>
      <c r="BC12" s="3">
        <f t="shared" si="37"/>
        <v>0</v>
      </c>
      <c r="BD12" s="3">
        <f t="shared" si="37"/>
        <v>0</v>
      </c>
      <c r="BE12" s="3">
        <f t="shared" si="37"/>
        <v>0</v>
      </c>
      <c r="BF12" s="3">
        <f t="shared" si="37"/>
        <v>0</v>
      </c>
      <c r="BG12" s="2"/>
      <c r="BH12" s="3">
        <f t="shared" ref="BH12:BS12" si="38">IF(AND(BH$5&gt;=$C12,BH$5&lt;=$D12),$E12,0)</f>
        <v>0</v>
      </c>
      <c r="BI12" s="3">
        <f t="shared" si="38"/>
        <v>0</v>
      </c>
      <c r="BJ12" s="3">
        <f t="shared" si="38"/>
        <v>0</v>
      </c>
      <c r="BK12" s="3">
        <f t="shared" si="38"/>
        <v>0</v>
      </c>
      <c r="BL12" s="3">
        <f t="shared" si="38"/>
        <v>0</v>
      </c>
      <c r="BM12" s="3">
        <f t="shared" si="38"/>
        <v>0</v>
      </c>
      <c r="BN12" s="3">
        <f t="shared" si="38"/>
        <v>0</v>
      </c>
      <c r="BO12" s="3">
        <f t="shared" si="38"/>
        <v>0</v>
      </c>
      <c r="BP12" s="3">
        <f t="shared" si="38"/>
        <v>0</v>
      </c>
      <c r="BQ12" s="3">
        <f t="shared" si="38"/>
        <v>0</v>
      </c>
      <c r="BR12" s="3">
        <f t="shared" si="38"/>
        <v>0</v>
      </c>
      <c r="BS12" s="3">
        <f t="shared" si="38"/>
        <v>0</v>
      </c>
      <c r="BT12" s="2"/>
    </row>
    <row r="13" spans="1:73" ht="14.5">
      <c r="A13" s="54" t="str">
        <f>IF('Capital purchases'!C17="","",'Capital purchases'!C17)</f>
        <v>Grain/etc storage</v>
      </c>
      <c r="B13" s="2"/>
      <c r="C13" s="2">
        <f>IF($A13="","",'Capital purchases'!B17)</f>
        <v>1</v>
      </c>
      <c r="D13" s="3">
        <f>IF($A13="","",'Capital purchases'!J17)</f>
        <v>361</v>
      </c>
      <c r="E13" s="161">
        <f>IF($A13="","",'Capital purchases'!I17)</f>
        <v>28</v>
      </c>
      <c r="H13" s="3">
        <f t="shared" ref="H13:S13" si="39">IF(AND(H$5&gt;=$C13,H$5&lt;=$D13),$E13,0)</f>
        <v>28</v>
      </c>
      <c r="I13" s="3">
        <f t="shared" si="39"/>
        <v>28</v>
      </c>
      <c r="J13" s="3">
        <f t="shared" si="39"/>
        <v>28</v>
      </c>
      <c r="K13" s="3">
        <f t="shared" si="39"/>
        <v>28</v>
      </c>
      <c r="L13" s="3">
        <f t="shared" si="39"/>
        <v>28</v>
      </c>
      <c r="M13" s="3">
        <f t="shared" si="39"/>
        <v>28</v>
      </c>
      <c r="N13" s="3">
        <f t="shared" si="39"/>
        <v>28</v>
      </c>
      <c r="O13" s="3">
        <f t="shared" si="39"/>
        <v>28</v>
      </c>
      <c r="P13" s="3">
        <f t="shared" si="39"/>
        <v>28</v>
      </c>
      <c r="Q13" s="3">
        <f t="shared" si="39"/>
        <v>28</v>
      </c>
      <c r="R13" s="3">
        <f t="shared" si="39"/>
        <v>28</v>
      </c>
      <c r="S13" s="3">
        <f t="shared" si="39"/>
        <v>28</v>
      </c>
      <c r="U13" s="3">
        <f t="shared" ref="U13:AF13" si="40">IF(AND(U$5&gt;=$C13,U$5&lt;=$D13),$E13,0)</f>
        <v>28</v>
      </c>
      <c r="V13" s="3">
        <f t="shared" si="40"/>
        <v>28</v>
      </c>
      <c r="W13" s="3">
        <f t="shared" si="40"/>
        <v>28</v>
      </c>
      <c r="X13" s="3">
        <f t="shared" si="40"/>
        <v>28</v>
      </c>
      <c r="Y13" s="3">
        <f t="shared" si="40"/>
        <v>28</v>
      </c>
      <c r="Z13" s="3">
        <f t="shared" si="40"/>
        <v>28</v>
      </c>
      <c r="AA13" s="3">
        <f t="shared" si="40"/>
        <v>28</v>
      </c>
      <c r="AB13" s="3">
        <f t="shared" si="40"/>
        <v>28</v>
      </c>
      <c r="AC13" s="3">
        <f t="shared" si="40"/>
        <v>28</v>
      </c>
      <c r="AD13" s="3">
        <f t="shared" si="40"/>
        <v>28</v>
      </c>
      <c r="AE13" s="3">
        <f t="shared" si="40"/>
        <v>28</v>
      </c>
      <c r="AF13" s="3">
        <f t="shared" si="40"/>
        <v>28</v>
      </c>
      <c r="AH13" s="3">
        <f t="shared" ref="AH13:AS13" si="41">IF(AND(AH$5&gt;=$C13,AH$5&lt;=$D13),$E13,0)</f>
        <v>28</v>
      </c>
      <c r="AI13" s="3">
        <f t="shared" si="41"/>
        <v>28</v>
      </c>
      <c r="AJ13" s="3">
        <f t="shared" si="41"/>
        <v>28</v>
      </c>
      <c r="AK13" s="3">
        <f t="shared" si="41"/>
        <v>28</v>
      </c>
      <c r="AL13" s="3">
        <f t="shared" si="41"/>
        <v>28</v>
      </c>
      <c r="AM13" s="3">
        <f t="shared" si="41"/>
        <v>28</v>
      </c>
      <c r="AN13" s="3">
        <f t="shared" si="41"/>
        <v>28</v>
      </c>
      <c r="AO13" s="3">
        <f t="shared" si="41"/>
        <v>28</v>
      </c>
      <c r="AP13" s="3">
        <f t="shared" si="41"/>
        <v>28</v>
      </c>
      <c r="AQ13" s="3">
        <f t="shared" si="41"/>
        <v>28</v>
      </c>
      <c r="AR13" s="3">
        <f t="shared" si="41"/>
        <v>28</v>
      </c>
      <c r="AS13" s="3">
        <f t="shared" si="41"/>
        <v>28</v>
      </c>
      <c r="AU13" s="3">
        <f t="shared" ref="AU13:BF13" si="42">IF(AND(AU$5&gt;=$C13,AU$5&lt;=$D13),$E13,0)</f>
        <v>28</v>
      </c>
      <c r="AV13" s="3">
        <f t="shared" si="42"/>
        <v>28</v>
      </c>
      <c r="AW13" s="3">
        <f t="shared" si="42"/>
        <v>28</v>
      </c>
      <c r="AX13" s="3">
        <f t="shared" si="42"/>
        <v>28</v>
      </c>
      <c r="AY13" s="3">
        <f t="shared" si="42"/>
        <v>28</v>
      </c>
      <c r="AZ13" s="3">
        <f t="shared" si="42"/>
        <v>28</v>
      </c>
      <c r="BA13" s="3">
        <f t="shared" si="42"/>
        <v>28</v>
      </c>
      <c r="BB13" s="3">
        <f t="shared" si="42"/>
        <v>28</v>
      </c>
      <c r="BC13" s="3">
        <f t="shared" si="42"/>
        <v>28</v>
      </c>
      <c r="BD13" s="3">
        <f t="shared" si="42"/>
        <v>28</v>
      </c>
      <c r="BE13" s="3">
        <f t="shared" si="42"/>
        <v>28</v>
      </c>
      <c r="BF13" s="3">
        <f t="shared" si="42"/>
        <v>28</v>
      </c>
      <c r="BG13" s="2"/>
      <c r="BH13" s="3">
        <f t="shared" ref="BH13:BS13" si="43">IF(AND(BH$5&gt;=$C13,BH$5&lt;=$D13),$E13,0)</f>
        <v>28</v>
      </c>
      <c r="BI13" s="3">
        <f t="shared" si="43"/>
        <v>28</v>
      </c>
      <c r="BJ13" s="3">
        <f t="shared" si="43"/>
        <v>28</v>
      </c>
      <c r="BK13" s="3">
        <f t="shared" si="43"/>
        <v>28</v>
      </c>
      <c r="BL13" s="3">
        <f t="shared" si="43"/>
        <v>28</v>
      </c>
      <c r="BM13" s="3">
        <f t="shared" si="43"/>
        <v>28</v>
      </c>
      <c r="BN13" s="3">
        <f t="shared" si="43"/>
        <v>28</v>
      </c>
      <c r="BO13" s="3">
        <f t="shared" si="43"/>
        <v>28</v>
      </c>
      <c r="BP13" s="3">
        <f t="shared" si="43"/>
        <v>28</v>
      </c>
      <c r="BQ13" s="3">
        <f t="shared" si="43"/>
        <v>28</v>
      </c>
      <c r="BR13" s="3">
        <f t="shared" si="43"/>
        <v>28</v>
      </c>
      <c r="BS13" s="3">
        <f t="shared" si="43"/>
        <v>28</v>
      </c>
      <c r="BT13" s="2"/>
    </row>
    <row r="14" spans="1:73" ht="14.5">
      <c r="A14" s="54" t="str">
        <f>IF('Capital purchases'!C18="","",'Capital purchases'!C18)</f>
        <v>Carbon Filter</v>
      </c>
      <c r="B14" s="2"/>
      <c r="C14" s="2">
        <f>IF($A14="","",'Capital purchases'!B18)</f>
        <v>1</v>
      </c>
      <c r="D14" s="3">
        <f>IF($A14="","",'Capital purchases'!J18)</f>
        <v>121</v>
      </c>
      <c r="E14" s="161">
        <f>IF($A14="","",'Capital purchases'!I18)</f>
        <v>0</v>
      </c>
      <c r="H14" s="3">
        <f t="shared" ref="H14:S14" si="44">IF(AND(H$5&gt;=$C14,H$5&lt;=$D14),$E14,0)</f>
        <v>0</v>
      </c>
      <c r="I14" s="3">
        <f t="shared" si="44"/>
        <v>0</v>
      </c>
      <c r="J14" s="3">
        <f t="shared" si="44"/>
        <v>0</v>
      </c>
      <c r="K14" s="3">
        <f t="shared" si="44"/>
        <v>0</v>
      </c>
      <c r="L14" s="3">
        <f t="shared" si="44"/>
        <v>0</v>
      </c>
      <c r="M14" s="3">
        <f t="shared" si="44"/>
        <v>0</v>
      </c>
      <c r="N14" s="3">
        <f t="shared" si="44"/>
        <v>0</v>
      </c>
      <c r="O14" s="3">
        <f t="shared" si="44"/>
        <v>0</v>
      </c>
      <c r="P14" s="3">
        <f t="shared" si="44"/>
        <v>0</v>
      </c>
      <c r="Q14" s="3">
        <f t="shared" si="44"/>
        <v>0</v>
      </c>
      <c r="R14" s="3">
        <f t="shared" si="44"/>
        <v>0</v>
      </c>
      <c r="S14" s="3">
        <f t="shared" si="44"/>
        <v>0</v>
      </c>
      <c r="U14" s="3">
        <f t="shared" ref="U14:AF14" si="45">IF(AND(U$5&gt;=$C14,U$5&lt;=$D14),$E14,0)</f>
        <v>0</v>
      </c>
      <c r="V14" s="3">
        <f t="shared" si="45"/>
        <v>0</v>
      </c>
      <c r="W14" s="3">
        <f t="shared" si="45"/>
        <v>0</v>
      </c>
      <c r="X14" s="3">
        <f t="shared" si="45"/>
        <v>0</v>
      </c>
      <c r="Y14" s="3">
        <f t="shared" si="45"/>
        <v>0</v>
      </c>
      <c r="Z14" s="3">
        <f t="shared" si="45"/>
        <v>0</v>
      </c>
      <c r="AA14" s="3">
        <f t="shared" si="45"/>
        <v>0</v>
      </c>
      <c r="AB14" s="3">
        <f t="shared" si="45"/>
        <v>0</v>
      </c>
      <c r="AC14" s="3">
        <f t="shared" si="45"/>
        <v>0</v>
      </c>
      <c r="AD14" s="3">
        <f t="shared" si="45"/>
        <v>0</v>
      </c>
      <c r="AE14" s="3">
        <f t="shared" si="45"/>
        <v>0</v>
      </c>
      <c r="AF14" s="3">
        <f t="shared" si="45"/>
        <v>0</v>
      </c>
      <c r="AH14" s="3">
        <f t="shared" ref="AH14:AS14" si="46">IF(AND(AH$5&gt;=$C14,AH$5&lt;=$D14),$E14,0)</f>
        <v>0</v>
      </c>
      <c r="AI14" s="3">
        <f t="shared" si="46"/>
        <v>0</v>
      </c>
      <c r="AJ14" s="3">
        <f t="shared" si="46"/>
        <v>0</v>
      </c>
      <c r="AK14" s="3">
        <f t="shared" si="46"/>
        <v>0</v>
      </c>
      <c r="AL14" s="3">
        <f t="shared" si="46"/>
        <v>0</v>
      </c>
      <c r="AM14" s="3">
        <f t="shared" si="46"/>
        <v>0</v>
      </c>
      <c r="AN14" s="3">
        <f t="shared" si="46"/>
        <v>0</v>
      </c>
      <c r="AO14" s="3">
        <f t="shared" si="46"/>
        <v>0</v>
      </c>
      <c r="AP14" s="3">
        <f t="shared" si="46"/>
        <v>0</v>
      </c>
      <c r="AQ14" s="3">
        <f t="shared" si="46"/>
        <v>0</v>
      </c>
      <c r="AR14" s="3">
        <f t="shared" si="46"/>
        <v>0</v>
      </c>
      <c r="AS14" s="3">
        <f t="shared" si="46"/>
        <v>0</v>
      </c>
      <c r="AU14" s="3">
        <f t="shared" ref="AU14:BF14" si="47">IF(AND(AU$5&gt;=$C14,AU$5&lt;=$D14),$E14,0)</f>
        <v>0</v>
      </c>
      <c r="AV14" s="3">
        <f t="shared" si="47"/>
        <v>0</v>
      </c>
      <c r="AW14" s="3">
        <f t="shared" si="47"/>
        <v>0</v>
      </c>
      <c r="AX14" s="3">
        <f t="shared" si="47"/>
        <v>0</v>
      </c>
      <c r="AY14" s="3">
        <f t="shared" si="47"/>
        <v>0</v>
      </c>
      <c r="AZ14" s="3">
        <f t="shared" si="47"/>
        <v>0</v>
      </c>
      <c r="BA14" s="3">
        <f t="shared" si="47"/>
        <v>0</v>
      </c>
      <c r="BB14" s="3">
        <f t="shared" si="47"/>
        <v>0</v>
      </c>
      <c r="BC14" s="3">
        <f t="shared" si="47"/>
        <v>0</v>
      </c>
      <c r="BD14" s="3">
        <f t="shared" si="47"/>
        <v>0</v>
      </c>
      <c r="BE14" s="3">
        <f t="shared" si="47"/>
        <v>0</v>
      </c>
      <c r="BF14" s="3">
        <f t="shared" si="47"/>
        <v>0</v>
      </c>
      <c r="BG14" s="2"/>
      <c r="BH14" s="3">
        <f t="shared" ref="BH14:BS14" si="48">IF(AND(BH$5&gt;=$C14,BH$5&lt;=$D14),$E14,0)</f>
        <v>0</v>
      </c>
      <c r="BI14" s="3">
        <f t="shared" si="48"/>
        <v>0</v>
      </c>
      <c r="BJ14" s="3">
        <f t="shared" si="48"/>
        <v>0</v>
      </c>
      <c r="BK14" s="3">
        <f t="shared" si="48"/>
        <v>0</v>
      </c>
      <c r="BL14" s="3">
        <f t="shared" si="48"/>
        <v>0</v>
      </c>
      <c r="BM14" s="3">
        <f t="shared" si="48"/>
        <v>0</v>
      </c>
      <c r="BN14" s="3">
        <f t="shared" si="48"/>
        <v>0</v>
      </c>
      <c r="BO14" s="3">
        <f t="shared" si="48"/>
        <v>0</v>
      </c>
      <c r="BP14" s="3">
        <f t="shared" si="48"/>
        <v>0</v>
      </c>
      <c r="BQ14" s="3">
        <f t="shared" si="48"/>
        <v>0</v>
      </c>
      <c r="BR14" s="3">
        <f t="shared" si="48"/>
        <v>0</v>
      </c>
      <c r="BS14" s="3">
        <f t="shared" si="48"/>
        <v>0</v>
      </c>
      <c r="BT14" s="2"/>
    </row>
    <row r="15" spans="1:73" ht="14.5">
      <c r="A15" s="54" t="str">
        <f>IF('Capital purchases'!C19="","",'Capital purchases'!C19)</f>
        <v>Canning line</v>
      </c>
      <c r="B15" s="2"/>
      <c r="C15" s="2">
        <f>IF($A15="","",'Capital purchases'!B19)</f>
        <v>1</v>
      </c>
      <c r="D15" s="3">
        <f>IF($A15="","",'Capital purchases'!J19)</f>
        <v>181</v>
      </c>
      <c r="E15" s="161">
        <f>IF($A15="","",'Capital purchases'!I19)</f>
        <v>144</v>
      </c>
      <c r="H15" s="3">
        <f t="shared" ref="H15:S15" si="49">IF(AND(H$5&gt;=$C15,H$5&lt;=$D15),$E15,0)</f>
        <v>144</v>
      </c>
      <c r="I15" s="3">
        <f t="shared" si="49"/>
        <v>144</v>
      </c>
      <c r="J15" s="3">
        <f t="shared" si="49"/>
        <v>144</v>
      </c>
      <c r="K15" s="3">
        <f t="shared" si="49"/>
        <v>144</v>
      </c>
      <c r="L15" s="3">
        <f t="shared" si="49"/>
        <v>144</v>
      </c>
      <c r="M15" s="3">
        <f t="shared" si="49"/>
        <v>144</v>
      </c>
      <c r="N15" s="3">
        <f t="shared" si="49"/>
        <v>144</v>
      </c>
      <c r="O15" s="3">
        <f t="shared" si="49"/>
        <v>144</v>
      </c>
      <c r="P15" s="3">
        <f t="shared" si="49"/>
        <v>144</v>
      </c>
      <c r="Q15" s="3">
        <f t="shared" si="49"/>
        <v>144</v>
      </c>
      <c r="R15" s="3">
        <f t="shared" si="49"/>
        <v>144</v>
      </c>
      <c r="S15" s="3">
        <f t="shared" si="49"/>
        <v>144</v>
      </c>
      <c r="U15" s="3">
        <f t="shared" ref="U15:AF15" si="50">IF(AND(U$5&gt;=$C15,U$5&lt;=$D15),$E15,0)</f>
        <v>144</v>
      </c>
      <c r="V15" s="3">
        <f t="shared" si="50"/>
        <v>144</v>
      </c>
      <c r="W15" s="3">
        <f t="shared" si="50"/>
        <v>144</v>
      </c>
      <c r="X15" s="3">
        <f t="shared" si="50"/>
        <v>144</v>
      </c>
      <c r="Y15" s="3">
        <f t="shared" si="50"/>
        <v>144</v>
      </c>
      <c r="Z15" s="3">
        <f t="shared" si="50"/>
        <v>144</v>
      </c>
      <c r="AA15" s="3">
        <f t="shared" si="50"/>
        <v>144</v>
      </c>
      <c r="AB15" s="3">
        <f t="shared" si="50"/>
        <v>144</v>
      </c>
      <c r="AC15" s="3">
        <f t="shared" si="50"/>
        <v>144</v>
      </c>
      <c r="AD15" s="3">
        <f t="shared" si="50"/>
        <v>144</v>
      </c>
      <c r="AE15" s="3">
        <f t="shared" si="50"/>
        <v>144</v>
      </c>
      <c r="AF15" s="3">
        <f t="shared" si="50"/>
        <v>144</v>
      </c>
      <c r="AH15" s="3">
        <f t="shared" ref="AH15:AS15" si="51">IF(AND(AH$5&gt;=$C15,AH$5&lt;=$D15),$E15,0)</f>
        <v>144</v>
      </c>
      <c r="AI15" s="3">
        <f t="shared" si="51"/>
        <v>144</v>
      </c>
      <c r="AJ15" s="3">
        <f t="shared" si="51"/>
        <v>144</v>
      </c>
      <c r="AK15" s="3">
        <f t="shared" si="51"/>
        <v>144</v>
      </c>
      <c r="AL15" s="3">
        <f t="shared" si="51"/>
        <v>144</v>
      </c>
      <c r="AM15" s="3">
        <f t="shared" si="51"/>
        <v>144</v>
      </c>
      <c r="AN15" s="3">
        <f t="shared" si="51"/>
        <v>144</v>
      </c>
      <c r="AO15" s="3">
        <f t="shared" si="51"/>
        <v>144</v>
      </c>
      <c r="AP15" s="3">
        <f t="shared" si="51"/>
        <v>144</v>
      </c>
      <c r="AQ15" s="3">
        <f t="shared" si="51"/>
        <v>144</v>
      </c>
      <c r="AR15" s="3">
        <f t="shared" si="51"/>
        <v>144</v>
      </c>
      <c r="AS15" s="3">
        <f t="shared" si="51"/>
        <v>144</v>
      </c>
      <c r="AU15" s="3">
        <f t="shared" ref="AU15:BF15" si="52">IF(AND(AU$5&gt;=$C15,AU$5&lt;=$D15),$E15,0)</f>
        <v>144</v>
      </c>
      <c r="AV15" s="3">
        <f t="shared" si="52"/>
        <v>144</v>
      </c>
      <c r="AW15" s="3">
        <f t="shared" si="52"/>
        <v>144</v>
      </c>
      <c r="AX15" s="3">
        <f t="shared" si="52"/>
        <v>144</v>
      </c>
      <c r="AY15" s="3">
        <f t="shared" si="52"/>
        <v>144</v>
      </c>
      <c r="AZ15" s="3">
        <f t="shared" si="52"/>
        <v>144</v>
      </c>
      <c r="BA15" s="3">
        <f t="shared" si="52"/>
        <v>144</v>
      </c>
      <c r="BB15" s="3">
        <f t="shared" si="52"/>
        <v>144</v>
      </c>
      <c r="BC15" s="3">
        <f t="shared" si="52"/>
        <v>144</v>
      </c>
      <c r="BD15" s="3">
        <f t="shared" si="52"/>
        <v>144</v>
      </c>
      <c r="BE15" s="3">
        <f t="shared" si="52"/>
        <v>144</v>
      </c>
      <c r="BF15" s="3">
        <f t="shared" si="52"/>
        <v>144</v>
      </c>
      <c r="BG15" s="2"/>
      <c r="BH15" s="3">
        <f t="shared" ref="BH15:BS15" si="53">IF(AND(BH$5&gt;=$C15,BH$5&lt;=$D15),$E15,0)</f>
        <v>144</v>
      </c>
      <c r="BI15" s="3">
        <f t="shared" si="53"/>
        <v>144</v>
      </c>
      <c r="BJ15" s="3">
        <f t="shared" si="53"/>
        <v>144</v>
      </c>
      <c r="BK15" s="3">
        <f t="shared" si="53"/>
        <v>144</v>
      </c>
      <c r="BL15" s="3">
        <f t="shared" si="53"/>
        <v>144</v>
      </c>
      <c r="BM15" s="3">
        <f t="shared" si="53"/>
        <v>144</v>
      </c>
      <c r="BN15" s="3">
        <f t="shared" si="53"/>
        <v>144</v>
      </c>
      <c r="BO15" s="3">
        <f t="shared" si="53"/>
        <v>144</v>
      </c>
      <c r="BP15" s="3">
        <f t="shared" si="53"/>
        <v>144</v>
      </c>
      <c r="BQ15" s="3">
        <f t="shared" si="53"/>
        <v>144</v>
      </c>
      <c r="BR15" s="3">
        <f t="shared" si="53"/>
        <v>144</v>
      </c>
      <c r="BS15" s="3">
        <f t="shared" si="53"/>
        <v>144</v>
      </c>
      <c r="BT15" s="2"/>
    </row>
    <row r="16" spans="1:73" ht="14.5">
      <c r="A16" s="54" t="str">
        <f>IF('Capital purchases'!C20="","",'Capital purchases'!C20)</f>
        <v>Brewery Hoses</v>
      </c>
      <c r="B16" s="2"/>
      <c r="C16" s="2">
        <f>IF($A16="","",'Capital purchases'!B20)</f>
        <v>1</v>
      </c>
      <c r="D16" s="3">
        <f>IF($A16="","",'Capital purchases'!J20)</f>
        <v>121</v>
      </c>
      <c r="E16" s="161">
        <f>IF($A16="","",'Capital purchases'!I20)</f>
        <v>0</v>
      </c>
      <c r="H16" s="3">
        <f t="shared" ref="H16:S16" si="54">IF(AND(H$5&gt;=$C16,H$5&lt;=$D16),$E16,0)</f>
        <v>0</v>
      </c>
      <c r="I16" s="3">
        <f t="shared" si="54"/>
        <v>0</v>
      </c>
      <c r="J16" s="3">
        <f t="shared" si="54"/>
        <v>0</v>
      </c>
      <c r="K16" s="3">
        <f t="shared" si="54"/>
        <v>0</v>
      </c>
      <c r="L16" s="3">
        <f t="shared" si="54"/>
        <v>0</v>
      </c>
      <c r="M16" s="3">
        <f t="shared" si="54"/>
        <v>0</v>
      </c>
      <c r="N16" s="3">
        <f t="shared" si="54"/>
        <v>0</v>
      </c>
      <c r="O16" s="3">
        <f t="shared" si="54"/>
        <v>0</v>
      </c>
      <c r="P16" s="3">
        <f t="shared" si="54"/>
        <v>0</v>
      </c>
      <c r="Q16" s="3">
        <f t="shared" si="54"/>
        <v>0</v>
      </c>
      <c r="R16" s="3">
        <f t="shared" si="54"/>
        <v>0</v>
      </c>
      <c r="S16" s="3">
        <f t="shared" si="54"/>
        <v>0</v>
      </c>
      <c r="U16" s="3">
        <f t="shared" ref="U16:AF16" si="55">IF(AND(U$5&gt;=$C16,U$5&lt;=$D16),$E16,0)</f>
        <v>0</v>
      </c>
      <c r="V16" s="3">
        <f t="shared" si="55"/>
        <v>0</v>
      </c>
      <c r="W16" s="3">
        <f t="shared" si="55"/>
        <v>0</v>
      </c>
      <c r="X16" s="3">
        <f t="shared" si="55"/>
        <v>0</v>
      </c>
      <c r="Y16" s="3">
        <f t="shared" si="55"/>
        <v>0</v>
      </c>
      <c r="Z16" s="3">
        <f t="shared" si="55"/>
        <v>0</v>
      </c>
      <c r="AA16" s="3">
        <f t="shared" si="55"/>
        <v>0</v>
      </c>
      <c r="AB16" s="3">
        <f t="shared" si="55"/>
        <v>0</v>
      </c>
      <c r="AC16" s="3">
        <f t="shared" si="55"/>
        <v>0</v>
      </c>
      <c r="AD16" s="3">
        <f t="shared" si="55"/>
        <v>0</v>
      </c>
      <c r="AE16" s="3">
        <f t="shared" si="55"/>
        <v>0</v>
      </c>
      <c r="AF16" s="3">
        <f t="shared" si="55"/>
        <v>0</v>
      </c>
      <c r="AH16" s="3">
        <f t="shared" ref="AH16:AS16" si="56">IF(AND(AH$5&gt;=$C16,AH$5&lt;=$D16),$E16,0)</f>
        <v>0</v>
      </c>
      <c r="AI16" s="3">
        <f t="shared" si="56"/>
        <v>0</v>
      </c>
      <c r="AJ16" s="3">
        <f t="shared" si="56"/>
        <v>0</v>
      </c>
      <c r="AK16" s="3">
        <f t="shared" si="56"/>
        <v>0</v>
      </c>
      <c r="AL16" s="3">
        <f t="shared" si="56"/>
        <v>0</v>
      </c>
      <c r="AM16" s="3">
        <f t="shared" si="56"/>
        <v>0</v>
      </c>
      <c r="AN16" s="3">
        <f t="shared" si="56"/>
        <v>0</v>
      </c>
      <c r="AO16" s="3">
        <f t="shared" si="56"/>
        <v>0</v>
      </c>
      <c r="AP16" s="3">
        <f t="shared" si="56"/>
        <v>0</v>
      </c>
      <c r="AQ16" s="3">
        <f t="shared" si="56"/>
        <v>0</v>
      </c>
      <c r="AR16" s="3">
        <f t="shared" si="56"/>
        <v>0</v>
      </c>
      <c r="AS16" s="3">
        <f t="shared" si="56"/>
        <v>0</v>
      </c>
      <c r="AU16" s="3">
        <f t="shared" ref="AU16:BF16" si="57">IF(AND(AU$5&gt;=$C16,AU$5&lt;=$D16),$E16,0)</f>
        <v>0</v>
      </c>
      <c r="AV16" s="3">
        <f t="shared" si="57"/>
        <v>0</v>
      </c>
      <c r="AW16" s="3">
        <f t="shared" si="57"/>
        <v>0</v>
      </c>
      <c r="AX16" s="3">
        <f t="shared" si="57"/>
        <v>0</v>
      </c>
      <c r="AY16" s="3">
        <f t="shared" si="57"/>
        <v>0</v>
      </c>
      <c r="AZ16" s="3">
        <f t="shared" si="57"/>
        <v>0</v>
      </c>
      <c r="BA16" s="3">
        <f t="shared" si="57"/>
        <v>0</v>
      </c>
      <c r="BB16" s="3">
        <f t="shared" si="57"/>
        <v>0</v>
      </c>
      <c r="BC16" s="3">
        <f t="shared" si="57"/>
        <v>0</v>
      </c>
      <c r="BD16" s="3">
        <f t="shared" si="57"/>
        <v>0</v>
      </c>
      <c r="BE16" s="3">
        <f t="shared" si="57"/>
        <v>0</v>
      </c>
      <c r="BF16" s="3">
        <f t="shared" si="57"/>
        <v>0</v>
      </c>
      <c r="BG16" s="2"/>
      <c r="BH16" s="3">
        <f t="shared" ref="BH16:BS16" si="58">IF(AND(BH$5&gt;=$C16,BH$5&lt;=$D16),$E16,0)</f>
        <v>0</v>
      </c>
      <c r="BI16" s="3">
        <f t="shared" si="58"/>
        <v>0</v>
      </c>
      <c r="BJ16" s="3">
        <f t="shared" si="58"/>
        <v>0</v>
      </c>
      <c r="BK16" s="3">
        <f t="shared" si="58"/>
        <v>0</v>
      </c>
      <c r="BL16" s="3">
        <f t="shared" si="58"/>
        <v>0</v>
      </c>
      <c r="BM16" s="3">
        <f t="shared" si="58"/>
        <v>0</v>
      </c>
      <c r="BN16" s="3">
        <f t="shared" si="58"/>
        <v>0</v>
      </c>
      <c r="BO16" s="3">
        <f t="shared" si="58"/>
        <v>0</v>
      </c>
      <c r="BP16" s="3">
        <f t="shared" si="58"/>
        <v>0</v>
      </c>
      <c r="BQ16" s="3">
        <f t="shared" si="58"/>
        <v>0</v>
      </c>
      <c r="BR16" s="3">
        <f t="shared" si="58"/>
        <v>0</v>
      </c>
      <c r="BS16" s="3">
        <f t="shared" si="58"/>
        <v>0</v>
      </c>
      <c r="BT16" s="2"/>
    </row>
    <row r="17" spans="1:72" ht="14.5">
      <c r="A17" s="54" t="str">
        <f>IF('Capital purchases'!C21="","",'Capital purchases'!C21)</f>
        <v>Utility Valves/Temp Probes/Wires</v>
      </c>
      <c r="B17" s="2"/>
      <c r="C17" s="2">
        <f>IF($A17="","",'Capital purchases'!B21)</f>
        <v>1</v>
      </c>
      <c r="D17" s="3">
        <f>IF($A17="","",'Capital purchases'!J21)</f>
        <v>181</v>
      </c>
      <c r="E17" s="161">
        <f>IF($A17="","",'Capital purchases'!I21)</f>
        <v>27</v>
      </c>
      <c r="H17" s="3">
        <f t="shared" ref="H17:S17" si="59">IF(AND(H$5&gt;=$C17,H$5&lt;=$D17),$E17,0)</f>
        <v>27</v>
      </c>
      <c r="I17" s="3">
        <f t="shared" si="59"/>
        <v>27</v>
      </c>
      <c r="J17" s="3">
        <f t="shared" si="59"/>
        <v>27</v>
      </c>
      <c r="K17" s="3">
        <f t="shared" si="59"/>
        <v>27</v>
      </c>
      <c r="L17" s="3">
        <f t="shared" si="59"/>
        <v>27</v>
      </c>
      <c r="M17" s="3">
        <f t="shared" si="59"/>
        <v>27</v>
      </c>
      <c r="N17" s="3">
        <f t="shared" si="59"/>
        <v>27</v>
      </c>
      <c r="O17" s="3">
        <f t="shared" si="59"/>
        <v>27</v>
      </c>
      <c r="P17" s="3">
        <f t="shared" si="59"/>
        <v>27</v>
      </c>
      <c r="Q17" s="3">
        <f t="shared" si="59"/>
        <v>27</v>
      </c>
      <c r="R17" s="3">
        <f t="shared" si="59"/>
        <v>27</v>
      </c>
      <c r="S17" s="3">
        <f t="shared" si="59"/>
        <v>27</v>
      </c>
      <c r="U17" s="3">
        <f t="shared" ref="U17:AF17" si="60">IF(AND(U$5&gt;=$C17,U$5&lt;=$D17),$E17,0)</f>
        <v>27</v>
      </c>
      <c r="V17" s="3">
        <f t="shared" si="60"/>
        <v>27</v>
      </c>
      <c r="W17" s="3">
        <f t="shared" si="60"/>
        <v>27</v>
      </c>
      <c r="X17" s="3">
        <f t="shared" si="60"/>
        <v>27</v>
      </c>
      <c r="Y17" s="3">
        <f t="shared" si="60"/>
        <v>27</v>
      </c>
      <c r="Z17" s="3">
        <f t="shared" si="60"/>
        <v>27</v>
      </c>
      <c r="AA17" s="3">
        <f t="shared" si="60"/>
        <v>27</v>
      </c>
      <c r="AB17" s="3">
        <f t="shared" si="60"/>
        <v>27</v>
      </c>
      <c r="AC17" s="3">
        <f t="shared" si="60"/>
        <v>27</v>
      </c>
      <c r="AD17" s="3">
        <f t="shared" si="60"/>
        <v>27</v>
      </c>
      <c r="AE17" s="3">
        <f t="shared" si="60"/>
        <v>27</v>
      </c>
      <c r="AF17" s="3">
        <f t="shared" si="60"/>
        <v>27</v>
      </c>
      <c r="AH17" s="3">
        <f t="shared" ref="AH17:AS17" si="61">IF(AND(AH$5&gt;=$C17,AH$5&lt;=$D17),$E17,0)</f>
        <v>27</v>
      </c>
      <c r="AI17" s="3">
        <f t="shared" si="61"/>
        <v>27</v>
      </c>
      <c r="AJ17" s="3">
        <f t="shared" si="61"/>
        <v>27</v>
      </c>
      <c r="AK17" s="3">
        <f t="shared" si="61"/>
        <v>27</v>
      </c>
      <c r="AL17" s="3">
        <f t="shared" si="61"/>
        <v>27</v>
      </c>
      <c r="AM17" s="3">
        <f t="shared" si="61"/>
        <v>27</v>
      </c>
      <c r="AN17" s="3">
        <f t="shared" si="61"/>
        <v>27</v>
      </c>
      <c r="AO17" s="3">
        <f t="shared" si="61"/>
        <v>27</v>
      </c>
      <c r="AP17" s="3">
        <f t="shared" si="61"/>
        <v>27</v>
      </c>
      <c r="AQ17" s="3">
        <f t="shared" si="61"/>
        <v>27</v>
      </c>
      <c r="AR17" s="3">
        <f t="shared" si="61"/>
        <v>27</v>
      </c>
      <c r="AS17" s="3">
        <f t="shared" si="61"/>
        <v>27</v>
      </c>
      <c r="AU17" s="3">
        <f t="shared" ref="AU17:BF17" si="62">IF(AND(AU$5&gt;=$C17,AU$5&lt;=$D17),$E17,0)</f>
        <v>27</v>
      </c>
      <c r="AV17" s="3">
        <f t="shared" si="62"/>
        <v>27</v>
      </c>
      <c r="AW17" s="3">
        <f t="shared" si="62"/>
        <v>27</v>
      </c>
      <c r="AX17" s="3">
        <f t="shared" si="62"/>
        <v>27</v>
      </c>
      <c r="AY17" s="3">
        <f t="shared" si="62"/>
        <v>27</v>
      </c>
      <c r="AZ17" s="3">
        <f t="shared" si="62"/>
        <v>27</v>
      </c>
      <c r="BA17" s="3">
        <f t="shared" si="62"/>
        <v>27</v>
      </c>
      <c r="BB17" s="3">
        <f t="shared" si="62"/>
        <v>27</v>
      </c>
      <c r="BC17" s="3">
        <f t="shared" si="62"/>
        <v>27</v>
      </c>
      <c r="BD17" s="3">
        <f t="shared" si="62"/>
        <v>27</v>
      </c>
      <c r="BE17" s="3">
        <f t="shared" si="62"/>
        <v>27</v>
      </c>
      <c r="BF17" s="3">
        <f t="shared" si="62"/>
        <v>27</v>
      </c>
      <c r="BG17" s="2"/>
      <c r="BH17" s="3">
        <f t="shared" ref="BH17:BS17" si="63">IF(AND(BH$5&gt;=$C17,BH$5&lt;=$D17),$E17,0)</f>
        <v>27</v>
      </c>
      <c r="BI17" s="3">
        <f t="shared" si="63"/>
        <v>27</v>
      </c>
      <c r="BJ17" s="3">
        <f t="shared" si="63"/>
        <v>27</v>
      </c>
      <c r="BK17" s="3">
        <f t="shared" si="63"/>
        <v>27</v>
      </c>
      <c r="BL17" s="3">
        <f t="shared" si="63"/>
        <v>27</v>
      </c>
      <c r="BM17" s="3">
        <f t="shared" si="63"/>
        <v>27</v>
      </c>
      <c r="BN17" s="3">
        <f t="shared" si="63"/>
        <v>27</v>
      </c>
      <c r="BO17" s="3">
        <f t="shared" si="63"/>
        <v>27</v>
      </c>
      <c r="BP17" s="3">
        <f t="shared" si="63"/>
        <v>27</v>
      </c>
      <c r="BQ17" s="3">
        <f t="shared" si="63"/>
        <v>27</v>
      </c>
      <c r="BR17" s="3">
        <f t="shared" si="63"/>
        <v>27</v>
      </c>
      <c r="BS17" s="3">
        <f t="shared" si="63"/>
        <v>27</v>
      </c>
      <c r="BT17" s="2"/>
    </row>
    <row r="18" spans="1:72" ht="14.5">
      <c r="A18" s="54" t="str">
        <f>IF('Capital purchases'!C22="","",'Capital purchases'!C22)</f>
        <v>1/4 bbl kegs</v>
      </c>
      <c r="B18" s="2"/>
      <c r="C18" s="2">
        <f>IF($A18="","",'Capital purchases'!B22)</f>
        <v>1</v>
      </c>
      <c r="D18" s="3">
        <f>IF($A18="","",'Capital purchases'!J22)</f>
        <v>121</v>
      </c>
      <c r="E18" s="161">
        <f>IF($A18="","",'Capital purchases'!I22)</f>
        <v>13</v>
      </c>
      <c r="H18" s="3">
        <f t="shared" ref="H18:S18" si="64">IF(AND(H$5&gt;=$C18,H$5&lt;=$D18),$E18,0)</f>
        <v>13</v>
      </c>
      <c r="I18" s="3">
        <f t="shared" si="64"/>
        <v>13</v>
      </c>
      <c r="J18" s="3">
        <f t="shared" si="64"/>
        <v>13</v>
      </c>
      <c r="K18" s="3">
        <f t="shared" si="64"/>
        <v>13</v>
      </c>
      <c r="L18" s="3">
        <f t="shared" si="64"/>
        <v>13</v>
      </c>
      <c r="M18" s="3">
        <f t="shared" si="64"/>
        <v>13</v>
      </c>
      <c r="N18" s="3">
        <f t="shared" si="64"/>
        <v>13</v>
      </c>
      <c r="O18" s="3">
        <f t="shared" si="64"/>
        <v>13</v>
      </c>
      <c r="P18" s="3">
        <f t="shared" si="64"/>
        <v>13</v>
      </c>
      <c r="Q18" s="3">
        <f t="shared" si="64"/>
        <v>13</v>
      </c>
      <c r="R18" s="3">
        <f t="shared" si="64"/>
        <v>13</v>
      </c>
      <c r="S18" s="3">
        <f t="shared" si="64"/>
        <v>13</v>
      </c>
      <c r="U18" s="3">
        <f t="shared" ref="U18:AF18" si="65">IF(AND(U$5&gt;=$C18,U$5&lt;=$D18),$E18,0)</f>
        <v>13</v>
      </c>
      <c r="V18" s="3">
        <f t="shared" si="65"/>
        <v>13</v>
      </c>
      <c r="W18" s="3">
        <f t="shared" si="65"/>
        <v>13</v>
      </c>
      <c r="X18" s="3">
        <f t="shared" si="65"/>
        <v>13</v>
      </c>
      <c r="Y18" s="3">
        <f t="shared" si="65"/>
        <v>13</v>
      </c>
      <c r="Z18" s="3">
        <f t="shared" si="65"/>
        <v>13</v>
      </c>
      <c r="AA18" s="3">
        <f t="shared" si="65"/>
        <v>13</v>
      </c>
      <c r="AB18" s="3">
        <f t="shared" si="65"/>
        <v>13</v>
      </c>
      <c r="AC18" s="3">
        <f t="shared" si="65"/>
        <v>13</v>
      </c>
      <c r="AD18" s="3">
        <f t="shared" si="65"/>
        <v>13</v>
      </c>
      <c r="AE18" s="3">
        <f t="shared" si="65"/>
        <v>13</v>
      </c>
      <c r="AF18" s="3">
        <f t="shared" si="65"/>
        <v>13</v>
      </c>
      <c r="AH18" s="3">
        <f t="shared" ref="AH18:AS18" si="66">IF(AND(AH$5&gt;=$C18,AH$5&lt;=$D18),$E18,0)</f>
        <v>13</v>
      </c>
      <c r="AI18" s="3">
        <f t="shared" si="66"/>
        <v>13</v>
      </c>
      <c r="AJ18" s="3">
        <f t="shared" si="66"/>
        <v>13</v>
      </c>
      <c r="AK18" s="3">
        <f t="shared" si="66"/>
        <v>13</v>
      </c>
      <c r="AL18" s="3">
        <f t="shared" si="66"/>
        <v>13</v>
      </c>
      <c r="AM18" s="3">
        <f t="shared" si="66"/>
        <v>13</v>
      </c>
      <c r="AN18" s="3">
        <f t="shared" si="66"/>
        <v>13</v>
      </c>
      <c r="AO18" s="3">
        <f t="shared" si="66"/>
        <v>13</v>
      </c>
      <c r="AP18" s="3">
        <f t="shared" si="66"/>
        <v>13</v>
      </c>
      <c r="AQ18" s="3">
        <f t="shared" si="66"/>
        <v>13</v>
      </c>
      <c r="AR18" s="3">
        <f t="shared" si="66"/>
        <v>13</v>
      </c>
      <c r="AS18" s="3">
        <f t="shared" si="66"/>
        <v>13</v>
      </c>
      <c r="AU18" s="3">
        <f t="shared" ref="AU18:BF18" si="67">IF(AND(AU$5&gt;=$C18,AU$5&lt;=$D18),$E18,0)</f>
        <v>13</v>
      </c>
      <c r="AV18" s="3">
        <f t="shared" si="67"/>
        <v>13</v>
      </c>
      <c r="AW18" s="3">
        <f t="shared" si="67"/>
        <v>13</v>
      </c>
      <c r="AX18" s="3">
        <f t="shared" si="67"/>
        <v>13</v>
      </c>
      <c r="AY18" s="3">
        <f t="shared" si="67"/>
        <v>13</v>
      </c>
      <c r="AZ18" s="3">
        <f t="shared" si="67"/>
        <v>13</v>
      </c>
      <c r="BA18" s="3">
        <f t="shared" si="67"/>
        <v>13</v>
      </c>
      <c r="BB18" s="3">
        <f t="shared" si="67"/>
        <v>13</v>
      </c>
      <c r="BC18" s="3">
        <f t="shared" si="67"/>
        <v>13</v>
      </c>
      <c r="BD18" s="3">
        <f t="shared" si="67"/>
        <v>13</v>
      </c>
      <c r="BE18" s="3">
        <f t="shared" si="67"/>
        <v>13</v>
      </c>
      <c r="BF18" s="3">
        <f t="shared" si="67"/>
        <v>13</v>
      </c>
      <c r="BG18" s="2"/>
      <c r="BH18" s="3">
        <f t="shared" ref="BH18:BS18" si="68">IF(AND(BH$5&gt;=$C18,BH$5&lt;=$D18),$E18,0)</f>
        <v>13</v>
      </c>
      <c r="BI18" s="3">
        <f t="shared" si="68"/>
        <v>13</v>
      </c>
      <c r="BJ18" s="3">
        <f t="shared" si="68"/>
        <v>13</v>
      </c>
      <c r="BK18" s="3">
        <f t="shared" si="68"/>
        <v>13</v>
      </c>
      <c r="BL18" s="3">
        <f t="shared" si="68"/>
        <v>13</v>
      </c>
      <c r="BM18" s="3">
        <f t="shared" si="68"/>
        <v>13</v>
      </c>
      <c r="BN18" s="3">
        <f t="shared" si="68"/>
        <v>13</v>
      </c>
      <c r="BO18" s="3">
        <f t="shared" si="68"/>
        <v>13</v>
      </c>
      <c r="BP18" s="3">
        <f t="shared" si="68"/>
        <v>13</v>
      </c>
      <c r="BQ18" s="3">
        <f t="shared" si="68"/>
        <v>13</v>
      </c>
      <c r="BR18" s="3">
        <f t="shared" si="68"/>
        <v>13</v>
      </c>
      <c r="BS18" s="3">
        <f t="shared" si="68"/>
        <v>13</v>
      </c>
      <c r="BT18" s="2"/>
    </row>
    <row r="19" spans="1:72" ht="14.5">
      <c r="A19" s="54" t="str">
        <f>IF('Capital purchases'!C23="","",'Capital purchases'!C23)</f>
        <v>1/2 bbl kegs</v>
      </c>
      <c r="B19" s="2"/>
      <c r="C19" s="2">
        <f>IF($A19="","",'Capital purchases'!B23)</f>
        <v>1</v>
      </c>
      <c r="D19" s="3">
        <f>IF($A19="","",'Capital purchases'!J23)</f>
        <v>121</v>
      </c>
      <c r="E19" s="161">
        <f>IF($A19="","",'Capital purchases'!I23)</f>
        <v>31</v>
      </c>
      <c r="H19" s="3">
        <f t="shared" ref="H19:S19" si="69">IF(AND(H$5&gt;=$C19,H$5&lt;=$D19),$E19,0)</f>
        <v>31</v>
      </c>
      <c r="I19" s="3">
        <f t="shared" si="69"/>
        <v>31</v>
      </c>
      <c r="J19" s="3">
        <f t="shared" si="69"/>
        <v>31</v>
      </c>
      <c r="K19" s="3">
        <f t="shared" si="69"/>
        <v>31</v>
      </c>
      <c r="L19" s="3">
        <f t="shared" si="69"/>
        <v>31</v>
      </c>
      <c r="M19" s="3">
        <f t="shared" si="69"/>
        <v>31</v>
      </c>
      <c r="N19" s="3">
        <f t="shared" si="69"/>
        <v>31</v>
      </c>
      <c r="O19" s="3">
        <f t="shared" si="69"/>
        <v>31</v>
      </c>
      <c r="P19" s="3">
        <f t="shared" si="69"/>
        <v>31</v>
      </c>
      <c r="Q19" s="3">
        <f t="shared" si="69"/>
        <v>31</v>
      </c>
      <c r="R19" s="3">
        <f t="shared" si="69"/>
        <v>31</v>
      </c>
      <c r="S19" s="3">
        <f t="shared" si="69"/>
        <v>31</v>
      </c>
      <c r="U19" s="3">
        <f t="shared" ref="U19:AF19" si="70">IF(AND(U$5&gt;=$C19,U$5&lt;=$D19),$E19,0)</f>
        <v>31</v>
      </c>
      <c r="V19" s="3">
        <f t="shared" si="70"/>
        <v>31</v>
      </c>
      <c r="W19" s="3">
        <f t="shared" si="70"/>
        <v>31</v>
      </c>
      <c r="X19" s="3">
        <f t="shared" si="70"/>
        <v>31</v>
      </c>
      <c r="Y19" s="3">
        <f t="shared" si="70"/>
        <v>31</v>
      </c>
      <c r="Z19" s="3">
        <f t="shared" si="70"/>
        <v>31</v>
      </c>
      <c r="AA19" s="3">
        <f t="shared" si="70"/>
        <v>31</v>
      </c>
      <c r="AB19" s="3">
        <f t="shared" si="70"/>
        <v>31</v>
      </c>
      <c r="AC19" s="3">
        <f t="shared" si="70"/>
        <v>31</v>
      </c>
      <c r="AD19" s="3">
        <f t="shared" si="70"/>
        <v>31</v>
      </c>
      <c r="AE19" s="3">
        <f t="shared" si="70"/>
        <v>31</v>
      </c>
      <c r="AF19" s="3">
        <f t="shared" si="70"/>
        <v>31</v>
      </c>
      <c r="AH19" s="3">
        <f t="shared" ref="AH19:AS19" si="71">IF(AND(AH$5&gt;=$C19,AH$5&lt;=$D19),$E19,0)</f>
        <v>31</v>
      </c>
      <c r="AI19" s="3">
        <f t="shared" si="71"/>
        <v>31</v>
      </c>
      <c r="AJ19" s="3">
        <f t="shared" si="71"/>
        <v>31</v>
      </c>
      <c r="AK19" s="3">
        <f t="shared" si="71"/>
        <v>31</v>
      </c>
      <c r="AL19" s="3">
        <f t="shared" si="71"/>
        <v>31</v>
      </c>
      <c r="AM19" s="3">
        <f t="shared" si="71"/>
        <v>31</v>
      </c>
      <c r="AN19" s="3">
        <f t="shared" si="71"/>
        <v>31</v>
      </c>
      <c r="AO19" s="3">
        <f t="shared" si="71"/>
        <v>31</v>
      </c>
      <c r="AP19" s="3">
        <f t="shared" si="71"/>
        <v>31</v>
      </c>
      <c r="AQ19" s="3">
        <f t="shared" si="71"/>
        <v>31</v>
      </c>
      <c r="AR19" s="3">
        <f t="shared" si="71"/>
        <v>31</v>
      </c>
      <c r="AS19" s="3">
        <f t="shared" si="71"/>
        <v>31</v>
      </c>
      <c r="AU19" s="3">
        <f t="shared" ref="AU19:BF19" si="72">IF(AND(AU$5&gt;=$C19,AU$5&lt;=$D19),$E19,0)</f>
        <v>31</v>
      </c>
      <c r="AV19" s="3">
        <f t="shared" si="72"/>
        <v>31</v>
      </c>
      <c r="AW19" s="3">
        <f t="shared" si="72"/>
        <v>31</v>
      </c>
      <c r="AX19" s="3">
        <f t="shared" si="72"/>
        <v>31</v>
      </c>
      <c r="AY19" s="3">
        <f t="shared" si="72"/>
        <v>31</v>
      </c>
      <c r="AZ19" s="3">
        <f t="shared" si="72"/>
        <v>31</v>
      </c>
      <c r="BA19" s="3">
        <f t="shared" si="72"/>
        <v>31</v>
      </c>
      <c r="BB19" s="3">
        <f t="shared" si="72"/>
        <v>31</v>
      </c>
      <c r="BC19" s="3">
        <f t="shared" si="72"/>
        <v>31</v>
      </c>
      <c r="BD19" s="3">
        <f t="shared" si="72"/>
        <v>31</v>
      </c>
      <c r="BE19" s="3">
        <f t="shared" si="72"/>
        <v>31</v>
      </c>
      <c r="BF19" s="3">
        <f t="shared" si="72"/>
        <v>31</v>
      </c>
      <c r="BG19" s="2"/>
      <c r="BH19" s="3">
        <f t="shared" ref="BH19:BS19" si="73">IF(AND(BH$5&gt;=$C19,BH$5&lt;=$D19),$E19,0)</f>
        <v>31</v>
      </c>
      <c r="BI19" s="3">
        <f t="shared" si="73"/>
        <v>31</v>
      </c>
      <c r="BJ19" s="3">
        <f t="shared" si="73"/>
        <v>31</v>
      </c>
      <c r="BK19" s="3">
        <f t="shared" si="73"/>
        <v>31</v>
      </c>
      <c r="BL19" s="3">
        <f t="shared" si="73"/>
        <v>31</v>
      </c>
      <c r="BM19" s="3">
        <f t="shared" si="73"/>
        <v>31</v>
      </c>
      <c r="BN19" s="3">
        <f t="shared" si="73"/>
        <v>31</v>
      </c>
      <c r="BO19" s="3">
        <f t="shared" si="73"/>
        <v>31</v>
      </c>
      <c r="BP19" s="3">
        <f t="shared" si="73"/>
        <v>31</v>
      </c>
      <c r="BQ19" s="3">
        <f t="shared" si="73"/>
        <v>31</v>
      </c>
      <c r="BR19" s="3">
        <f t="shared" si="73"/>
        <v>31</v>
      </c>
      <c r="BS19" s="3">
        <f t="shared" si="73"/>
        <v>31</v>
      </c>
      <c r="BT19" s="2"/>
    </row>
    <row r="20" spans="1:72" ht="14.5">
      <c r="A20" s="54" t="str">
        <f>IF('Capital purchases'!C24="","",'Capital purchases'!C24)</f>
        <v>1/6 bbl kegs</v>
      </c>
      <c r="B20" s="2"/>
      <c r="C20" s="2">
        <f>IF($A20="","",'Capital purchases'!B24)</f>
        <v>1</v>
      </c>
      <c r="D20" s="3">
        <f>IF($A20="","",'Capital purchases'!J24)</f>
        <v>121</v>
      </c>
      <c r="E20" s="161">
        <f>IF($A20="","",'Capital purchases'!I24)</f>
        <v>14</v>
      </c>
      <c r="H20" s="3">
        <f t="shared" ref="H20:S20" si="74">IF(AND(H$5&gt;=$C20,H$5&lt;=$D20),$E20,0)</f>
        <v>14</v>
      </c>
      <c r="I20" s="3">
        <f t="shared" si="74"/>
        <v>14</v>
      </c>
      <c r="J20" s="3">
        <f t="shared" si="74"/>
        <v>14</v>
      </c>
      <c r="K20" s="3">
        <f t="shared" si="74"/>
        <v>14</v>
      </c>
      <c r="L20" s="3">
        <f t="shared" si="74"/>
        <v>14</v>
      </c>
      <c r="M20" s="3">
        <f t="shared" si="74"/>
        <v>14</v>
      </c>
      <c r="N20" s="3">
        <f t="shared" si="74"/>
        <v>14</v>
      </c>
      <c r="O20" s="3">
        <f t="shared" si="74"/>
        <v>14</v>
      </c>
      <c r="P20" s="3">
        <f t="shared" si="74"/>
        <v>14</v>
      </c>
      <c r="Q20" s="3">
        <f t="shared" si="74"/>
        <v>14</v>
      </c>
      <c r="R20" s="3">
        <f t="shared" si="74"/>
        <v>14</v>
      </c>
      <c r="S20" s="3">
        <f t="shared" si="74"/>
        <v>14</v>
      </c>
      <c r="U20" s="3">
        <f t="shared" ref="U20:AF20" si="75">IF(AND(U$5&gt;=$C20,U$5&lt;=$D20),$E20,0)</f>
        <v>14</v>
      </c>
      <c r="V20" s="3">
        <f t="shared" si="75"/>
        <v>14</v>
      </c>
      <c r="W20" s="3">
        <f t="shared" si="75"/>
        <v>14</v>
      </c>
      <c r="X20" s="3">
        <f t="shared" si="75"/>
        <v>14</v>
      </c>
      <c r="Y20" s="3">
        <f t="shared" si="75"/>
        <v>14</v>
      </c>
      <c r="Z20" s="3">
        <f t="shared" si="75"/>
        <v>14</v>
      </c>
      <c r="AA20" s="3">
        <f t="shared" si="75"/>
        <v>14</v>
      </c>
      <c r="AB20" s="3">
        <f t="shared" si="75"/>
        <v>14</v>
      </c>
      <c r="AC20" s="3">
        <f t="shared" si="75"/>
        <v>14</v>
      </c>
      <c r="AD20" s="3">
        <f t="shared" si="75"/>
        <v>14</v>
      </c>
      <c r="AE20" s="3">
        <f t="shared" si="75"/>
        <v>14</v>
      </c>
      <c r="AF20" s="3">
        <f t="shared" si="75"/>
        <v>14</v>
      </c>
      <c r="AH20" s="3">
        <f t="shared" ref="AH20:AS20" si="76">IF(AND(AH$5&gt;=$C20,AH$5&lt;=$D20),$E20,0)</f>
        <v>14</v>
      </c>
      <c r="AI20" s="3">
        <f t="shared" si="76"/>
        <v>14</v>
      </c>
      <c r="AJ20" s="3">
        <f t="shared" si="76"/>
        <v>14</v>
      </c>
      <c r="AK20" s="3">
        <f t="shared" si="76"/>
        <v>14</v>
      </c>
      <c r="AL20" s="3">
        <f t="shared" si="76"/>
        <v>14</v>
      </c>
      <c r="AM20" s="3">
        <f t="shared" si="76"/>
        <v>14</v>
      </c>
      <c r="AN20" s="3">
        <f t="shared" si="76"/>
        <v>14</v>
      </c>
      <c r="AO20" s="3">
        <f t="shared" si="76"/>
        <v>14</v>
      </c>
      <c r="AP20" s="3">
        <f t="shared" si="76"/>
        <v>14</v>
      </c>
      <c r="AQ20" s="3">
        <f t="shared" si="76"/>
        <v>14</v>
      </c>
      <c r="AR20" s="3">
        <f t="shared" si="76"/>
        <v>14</v>
      </c>
      <c r="AS20" s="3">
        <f t="shared" si="76"/>
        <v>14</v>
      </c>
      <c r="AU20" s="3">
        <f t="shared" ref="AU20:BF20" si="77">IF(AND(AU$5&gt;=$C20,AU$5&lt;=$D20),$E20,0)</f>
        <v>14</v>
      </c>
      <c r="AV20" s="3">
        <f t="shared" si="77"/>
        <v>14</v>
      </c>
      <c r="AW20" s="3">
        <f t="shared" si="77"/>
        <v>14</v>
      </c>
      <c r="AX20" s="3">
        <f t="shared" si="77"/>
        <v>14</v>
      </c>
      <c r="AY20" s="3">
        <f t="shared" si="77"/>
        <v>14</v>
      </c>
      <c r="AZ20" s="3">
        <f t="shared" si="77"/>
        <v>14</v>
      </c>
      <c r="BA20" s="3">
        <f t="shared" si="77"/>
        <v>14</v>
      </c>
      <c r="BB20" s="3">
        <f t="shared" si="77"/>
        <v>14</v>
      </c>
      <c r="BC20" s="3">
        <f t="shared" si="77"/>
        <v>14</v>
      </c>
      <c r="BD20" s="3">
        <f t="shared" si="77"/>
        <v>14</v>
      </c>
      <c r="BE20" s="3">
        <f t="shared" si="77"/>
        <v>14</v>
      </c>
      <c r="BF20" s="3">
        <f t="shared" si="77"/>
        <v>14</v>
      </c>
      <c r="BG20" s="2"/>
      <c r="BH20" s="3">
        <f t="shared" ref="BH20:BS20" si="78">IF(AND(BH$5&gt;=$C20,BH$5&lt;=$D20),$E20,0)</f>
        <v>14</v>
      </c>
      <c r="BI20" s="3">
        <f t="shared" si="78"/>
        <v>14</v>
      </c>
      <c r="BJ20" s="3">
        <f t="shared" si="78"/>
        <v>14</v>
      </c>
      <c r="BK20" s="3">
        <f t="shared" si="78"/>
        <v>14</v>
      </c>
      <c r="BL20" s="3">
        <f t="shared" si="78"/>
        <v>14</v>
      </c>
      <c r="BM20" s="3">
        <f t="shared" si="78"/>
        <v>14</v>
      </c>
      <c r="BN20" s="3">
        <f t="shared" si="78"/>
        <v>14</v>
      </c>
      <c r="BO20" s="3">
        <f t="shared" si="78"/>
        <v>14</v>
      </c>
      <c r="BP20" s="3">
        <f t="shared" si="78"/>
        <v>14</v>
      </c>
      <c r="BQ20" s="3">
        <f t="shared" si="78"/>
        <v>14</v>
      </c>
      <c r="BR20" s="3">
        <f t="shared" si="78"/>
        <v>14</v>
      </c>
      <c r="BS20" s="3">
        <f t="shared" si="78"/>
        <v>14</v>
      </c>
      <c r="BT20" s="2"/>
    </row>
    <row r="21" spans="1:72" ht="15.75" customHeight="1">
      <c r="A21" s="54" t="str">
        <f>IF('Capital purchases'!C25="","",'Capital purchases'!C25)</f>
        <v>Website, branding</v>
      </c>
      <c r="B21" s="2"/>
      <c r="C21" s="2">
        <f>IF($A21="","",'Capital purchases'!B25)</f>
        <v>1</v>
      </c>
      <c r="D21" s="3">
        <f>IF($A21="","",'Capital purchases'!J25)</f>
        <v>121</v>
      </c>
      <c r="E21" s="161">
        <f>IF($A21="","",'Capital purchases'!I25)</f>
        <v>83</v>
      </c>
      <c r="H21" s="3">
        <f t="shared" ref="H21:S21" si="79">IF(AND(H$5&gt;=$C21,H$5&lt;=$D21),$E21,0)</f>
        <v>83</v>
      </c>
      <c r="I21" s="3">
        <f t="shared" si="79"/>
        <v>83</v>
      </c>
      <c r="J21" s="3">
        <f t="shared" si="79"/>
        <v>83</v>
      </c>
      <c r="K21" s="3">
        <f t="shared" si="79"/>
        <v>83</v>
      </c>
      <c r="L21" s="3">
        <f t="shared" si="79"/>
        <v>83</v>
      </c>
      <c r="M21" s="3">
        <f t="shared" si="79"/>
        <v>83</v>
      </c>
      <c r="N21" s="3">
        <f t="shared" si="79"/>
        <v>83</v>
      </c>
      <c r="O21" s="3">
        <f t="shared" si="79"/>
        <v>83</v>
      </c>
      <c r="P21" s="3">
        <f t="shared" si="79"/>
        <v>83</v>
      </c>
      <c r="Q21" s="3">
        <f t="shared" si="79"/>
        <v>83</v>
      </c>
      <c r="R21" s="3">
        <f t="shared" si="79"/>
        <v>83</v>
      </c>
      <c r="S21" s="3">
        <f t="shared" si="79"/>
        <v>83</v>
      </c>
      <c r="U21" s="3">
        <f t="shared" ref="U21:AF21" si="80">IF(AND(U$5&gt;=$C21,U$5&lt;=$D21),$E21,0)</f>
        <v>83</v>
      </c>
      <c r="V21" s="3">
        <f t="shared" si="80"/>
        <v>83</v>
      </c>
      <c r="W21" s="3">
        <f t="shared" si="80"/>
        <v>83</v>
      </c>
      <c r="X21" s="3">
        <f t="shared" si="80"/>
        <v>83</v>
      </c>
      <c r="Y21" s="3">
        <f t="shared" si="80"/>
        <v>83</v>
      </c>
      <c r="Z21" s="3">
        <f t="shared" si="80"/>
        <v>83</v>
      </c>
      <c r="AA21" s="3">
        <f t="shared" si="80"/>
        <v>83</v>
      </c>
      <c r="AB21" s="3">
        <f t="shared" si="80"/>
        <v>83</v>
      </c>
      <c r="AC21" s="3">
        <f t="shared" si="80"/>
        <v>83</v>
      </c>
      <c r="AD21" s="3">
        <f t="shared" si="80"/>
        <v>83</v>
      </c>
      <c r="AE21" s="3">
        <f t="shared" si="80"/>
        <v>83</v>
      </c>
      <c r="AF21" s="3">
        <f t="shared" si="80"/>
        <v>83</v>
      </c>
      <c r="AH21" s="3">
        <f t="shared" ref="AH21:AS21" si="81">IF(AND(AH$5&gt;=$C21,AH$5&lt;=$D21),$E21,0)</f>
        <v>83</v>
      </c>
      <c r="AI21" s="3">
        <f t="shared" si="81"/>
        <v>83</v>
      </c>
      <c r="AJ21" s="3">
        <f t="shared" si="81"/>
        <v>83</v>
      </c>
      <c r="AK21" s="3">
        <f t="shared" si="81"/>
        <v>83</v>
      </c>
      <c r="AL21" s="3">
        <f t="shared" si="81"/>
        <v>83</v>
      </c>
      <c r="AM21" s="3">
        <f t="shared" si="81"/>
        <v>83</v>
      </c>
      <c r="AN21" s="3">
        <f t="shared" si="81"/>
        <v>83</v>
      </c>
      <c r="AO21" s="3">
        <f t="shared" si="81"/>
        <v>83</v>
      </c>
      <c r="AP21" s="3">
        <f t="shared" si="81"/>
        <v>83</v>
      </c>
      <c r="AQ21" s="3">
        <f t="shared" si="81"/>
        <v>83</v>
      </c>
      <c r="AR21" s="3">
        <f t="shared" si="81"/>
        <v>83</v>
      </c>
      <c r="AS21" s="3">
        <f t="shared" si="81"/>
        <v>83</v>
      </c>
      <c r="AU21" s="3">
        <f t="shared" ref="AU21:BF21" si="82">IF(AND(AU$5&gt;=$C21,AU$5&lt;=$D21),$E21,0)</f>
        <v>83</v>
      </c>
      <c r="AV21" s="3">
        <f t="shared" si="82"/>
        <v>83</v>
      </c>
      <c r="AW21" s="3">
        <f t="shared" si="82"/>
        <v>83</v>
      </c>
      <c r="AX21" s="3">
        <f t="shared" si="82"/>
        <v>83</v>
      </c>
      <c r="AY21" s="3">
        <f t="shared" si="82"/>
        <v>83</v>
      </c>
      <c r="AZ21" s="3">
        <f t="shared" si="82"/>
        <v>83</v>
      </c>
      <c r="BA21" s="3">
        <f t="shared" si="82"/>
        <v>83</v>
      </c>
      <c r="BB21" s="3">
        <f t="shared" si="82"/>
        <v>83</v>
      </c>
      <c r="BC21" s="3">
        <f t="shared" si="82"/>
        <v>83</v>
      </c>
      <c r="BD21" s="3">
        <f t="shared" si="82"/>
        <v>83</v>
      </c>
      <c r="BE21" s="3">
        <f t="shared" si="82"/>
        <v>83</v>
      </c>
      <c r="BF21" s="3">
        <f t="shared" si="82"/>
        <v>83</v>
      </c>
      <c r="BG21" s="2"/>
      <c r="BH21" s="3">
        <f t="shared" ref="BH21:BS21" si="83">IF(AND(BH$5&gt;=$C21,BH$5&lt;=$D21),$E21,0)</f>
        <v>83</v>
      </c>
      <c r="BI21" s="3">
        <f t="shared" si="83"/>
        <v>83</v>
      </c>
      <c r="BJ21" s="3">
        <f t="shared" si="83"/>
        <v>83</v>
      </c>
      <c r="BK21" s="3">
        <f t="shared" si="83"/>
        <v>83</v>
      </c>
      <c r="BL21" s="3">
        <f t="shared" si="83"/>
        <v>83</v>
      </c>
      <c r="BM21" s="3">
        <f t="shared" si="83"/>
        <v>83</v>
      </c>
      <c r="BN21" s="3">
        <f t="shared" si="83"/>
        <v>83</v>
      </c>
      <c r="BO21" s="3">
        <f t="shared" si="83"/>
        <v>83</v>
      </c>
      <c r="BP21" s="3">
        <f t="shared" si="83"/>
        <v>83</v>
      </c>
      <c r="BQ21" s="3">
        <f t="shared" si="83"/>
        <v>83</v>
      </c>
      <c r="BR21" s="3">
        <f t="shared" si="83"/>
        <v>83</v>
      </c>
      <c r="BS21" s="3">
        <f t="shared" si="83"/>
        <v>83</v>
      </c>
      <c r="BT21" s="2"/>
    </row>
    <row r="22" spans="1:72" ht="15.75" customHeight="1">
      <c r="A22" s="54" t="str">
        <f>IF('Capital purchases'!C26="","",'Capital purchases'!C26)</f>
        <v>Furniture</v>
      </c>
      <c r="B22" s="2"/>
      <c r="C22" s="2">
        <f>IF($A22="","",'Capital purchases'!B26)</f>
        <v>1</v>
      </c>
      <c r="D22" s="3">
        <f>IF($A22="","",'Capital purchases'!J26)</f>
        <v>181</v>
      </c>
      <c r="E22" s="161">
        <f>IF($A22="","",'Capital purchases'!I26)</f>
        <v>139</v>
      </c>
      <c r="H22" s="3">
        <f t="shared" ref="H22:S22" si="84">IF(AND(H$5&gt;=$C22,H$5&lt;=$D22),$E22,0)</f>
        <v>139</v>
      </c>
      <c r="I22" s="3">
        <f t="shared" si="84"/>
        <v>139</v>
      </c>
      <c r="J22" s="3">
        <f t="shared" si="84"/>
        <v>139</v>
      </c>
      <c r="K22" s="3">
        <f t="shared" si="84"/>
        <v>139</v>
      </c>
      <c r="L22" s="3">
        <f t="shared" si="84"/>
        <v>139</v>
      </c>
      <c r="M22" s="3">
        <f t="shared" si="84"/>
        <v>139</v>
      </c>
      <c r="N22" s="3">
        <f t="shared" si="84"/>
        <v>139</v>
      </c>
      <c r="O22" s="3">
        <f t="shared" si="84"/>
        <v>139</v>
      </c>
      <c r="P22" s="3">
        <f t="shared" si="84"/>
        <v>139</v>
      </c>
      <c r="Q22" s="3">
        <f t="shared" si="84"/>
        <v>139</v>
      </c>
      <c r="R22" s="3">
        <f t="shared" si="84"/>
        <v>139</v>
      </c>
      <c r="S22" s="3">
        <f t="shared" si="84"/>
        <v>139</v>
      </c>
      <c r="U22" s="3">
        <f t="shared" ref="U22:AF22" si="85">IF(AND(U$5&gt;=$C22,U$5&lt;=$D22),$E22,0)</f>
        <v>139</v>
      </c>
      <c r="V22" s="3">
        <f t="shared" si="85"/>
        <v>139</v>
      </c>
      <c r="W22" s="3">
        <f t="shared" si="85"/>
        <v>139</v>
      </c>
      <c r="X22" s="3">
        <f t="shared" si="85"/>
        <v>139</v>
      </c>
      <c r="Y22" s="3">
        <f t="shared" si="85"/>
        <v>139</v>
      </c>
      <c r="Z22" s="3">
        <f t="shared" si="85"/>
        <v>139</v>
      </c>
      <c r="AA22" s="3">
        <f t="shared" si="85"/>
        <v>139</v>
      </c>
      <c r="AB22" s="3">
        <f t="shared" si="85"/>
        <v>139</v>
      </c>
      <c r="AC22" s="3">
        <f t="shared" si="85"/>
        <v>139</v>
      </c>
      <c r="AD22" s="3">
        <f t="shared" si="85"/>
        <v>139</v>
      </c>
      <c r="AE22" s="3">
        <f t="shared" si="85"/>
        <v>139</v>
      </c>
      <c r="AF22" s="3">
        <f t="shared" si="85"/>
        <v>139</v>
      </c>
      <c r="AH22" s="3">
        <f t="shared" ref="AH22:AS22" si="86">IF(AND(AH$5&gt;=$C22,AH$5&lt;=$D22),$E22,0)</f>
        <v>139</v>
      </c>
      <c r="AI22" s="3">
        <f t="shared" si="86"/>
        <v>139</v>
      </c>
      <c r="AJ22" s="3">
        <f t="shared" si="86"/>
        <v>139</v>
      </c>
      <c r="AK22" s="3">
        <f t="shared" si="86"/>
        <v>139</v>
      </c>
      <c r="AL22" s="3">
        <f t="shared" si="86"/>
        <v>139</v>
      </c>
      <c r="AM22" s="3">
        <f t="shared" si="86"/>
        <v>139</v>
      </c>
      <c r="AN22" s="3">
        <f t="shared" si="86"/>
        <v>139</v>
      </c>
      <c r="AO22" s="3">
        <f t="shared" si="86"/>
        <v>139</v>
      </c>
      <c r="AP22" s="3">
        <f t="shared" si="86"/>
        <v>139</v>
      </c>
      <c r="AQ22" s="3">
        <f t="shared" si="86"/>
        <v>139</v>
      </c>
      <c r="AR22" s="3">
        <f t="shared" si="86"/>
        <v>139</v>
      </c>
      <c r="AS22" s="3">
        <f t="shared" si="86"/>
        <v>139</v>
      </c>
      <c r="AU22" s="3">
        <f t="shared" ref="AU22:BF22" si="87">IF(AND(AU$5&gt;=$C22,AU$5&lt;=$D22),$E22,0)</f>
        <v>139</v>
      </c>
      <c r="AV22" s="3">
        <f t="shared" si="87"/>
        <v>139</v>
      </c>
      <c r="AW22" s="3">
        <f t="shared" si="87"/>
        <v>139</v>
      </c>
      <c r="AX22" s="3">
        <f t="shared" si="87"/>
        <v>139</v>
      </c>
      <c r="AY22" s="3">
        <f t="shared" si="87"/>
        <v>139</v>
      </c>
      <c r="AZ22" s="3">
        <f t="shared" si="87"/>
        <v>139</v>
      </c>
      <c r="BA22" s="3">
        <f t="shared" si="87"/>
        <v>139</v>
      </c>
      <c r="BB22" s="3">
        <f t="shared" si="87"/>
        <v>139</v>
      </c>
      <c r="BC22" s="3">
        <f t="shared" si="87"/>
        <v>139</v>
      </c>
      <c r="BD22" s="3">
        <f t="shared" si="87"/>
        <v>139</v>
      </c>
      <c r="BE22" s="3">
        <f t="shared" si="87"/>
        <v>139</v>
      </c>
      <c r="BF22" s="3">
        <f t="shared" si="87"/>
        <v>139</v>
      </c>
      <c r="BG22" s="2"/>
      <c r="BH22" s="3">
        <f t="shared" ref="BH22:BS22" si="88">IF(AND(BH$5&gt;=$C22,BH$5&lt;=$D22),$E22,0)</f>
        <v>139</v>
      </c>
      <c r="BI22" s="3">
        <f t="shared" si="88"/>
        <v>139</v>
      </c>
      <c r="BJ22" s="3">
        <f t="shared" si="88"/>
        <v>139</v>
      </c>
      <c r="BK22" s="3">
        <f t="shared" si="88"/>
        <v>139</v>
      </c>
      <c r="BL22" s="3">
        <f t="shared" si="88"/>
        <v>139</v>
      </c>
      <c r="BM22" s="3">
        <f t="shared" si="88"/>
        <v>139</v>
      </c>
      <c r="BN22" s="3">
        <f t="shared" si="88"/>
        <v>139</v>
      </c>
      <c r="BO22" s="3">
        <f t="shared" si="88"/>
        <v>139</v>
      </c>
      <c r="BP22" s="3">
        <f t="shared" si="88"/>
        <v>139</v>
      </c>
      <c r="BQ22" s="3">
        <f t="shared" si="88"/>
        <v>139</v>
      </c>
      <c r="BR22" s="3">
        <f t="shared" si="88"/>
        <v>139</v>
      </c>
      <c r="BS22" s="3">
        <f t="shared" si="88"/>
        <v>139</v>
      </c>
      <c r="BT22" s="2"/>
    </row>
    <row r="23" spans="1:72" ht="15.75" customHeight="1">
      <c r="A23" s="54" t="str">
        <f>IF('Capital purchases'!C27="","",'Capital purchases'!C27)</f>
        <v>Kitchen Equipment</v>
      </c>
      <c r="B23" s="2"/>
      <c r="C23" s="2">
        <f>IF($A23="","",'Capital purchases'!B27)</f>
        <v>1</v>
      </c>
      <c r="D23" s="3">
        <f>IF($A23="","",'Capital purchases'!J27)</f>
        <v>361</v>
      </c>
      <c r="E23" s="161">
        <f>IF($A23="","",'Capital purchases'!I27)</f>
        <v>56</v>
      </c>
      <c r="H23" s="3">
        <f t="shared" ref="H23:S23" si="89">IF(AND(H$5&gt;=$C23,H$5&lt;=$D23),$E23,0)</f>
        <v>56</v>
      </c>
      <c r="I23" s="3">
        <f t="shared" si="89"/>
        <v>56</v>
      </c>
      <c r="J23" s="3">
        <f t="shared" si="89"/>
        <v>56</v>
      </c>
      <c r="K23" s="3">
        <f t="shared" si="89"/>
        <v>56</v>
      </c>
      <c r="L23" s="3">
        <f t="shared" si="89"/>
        <v>56</v>
      </c>
      <c r="M23" s="3">
        <f t="shared" si="89"/>
        <v>56</v>
      </c>
      <c r="N23" s="3">
        <f t="shared" si="89"/>
        <v>56</v>
      </c>
      <c r="O23" s="3">
        <f t="shared" si="89"/>
        <v>56</v>
      </c>
      <c r="P23" s="3">
        <f t="shared" si="89"/>
        <v>56</v>
      </c>
      <c r="Q23" s="3">
        <f t="shared" si="89"/>
        <v>56</v>
      </c>
      <c r="R23" s="3">
        <f t="shared" si="89"/>
        <v>56</v>
      </c>
      <c r="S23" s="3">
        <f t="shared" si="89"/>
        <v>56</v>
      </c>
      <c r="U23" s="3">
        <f t="shared" ref="U23:AF23" si="90">IF(AND(U$5&gt;=$C23,U$5&lt;=$D23),$E23,0)</f>
        <v>56</v>
      </c>
      <c r="V23" s="3">
        <f t="shared" si="90"/>
        <v>56</v>
      </c>
      <c r="W23" s="3">
        <f t="shared" si="90"/>
        <v>56</v>
      </c>
      <c r="X23" s="3">
        <f t="shared" si="90"/>
        <v>56</v>
      </c>
      <c r="Y23" s="3">
        <f t="shared" si="90"/>
        <v>56</v>
      </c>
      <c r="Z23" s="3">
        <f t="shared" si="90"/>
        <v>56</v>
      </c>
      <c r="AA23" s="3">
        <f t="shared" si="90"/>
        <v>56</v>
      </c>
      <c r="AB23" s="3">
        <f t="shared" si="90"/>
        <v>56</v>
      </c>
      <c r="AC23" s="3">
        <f t="shared" si="90"/>
        <v>56</v>
      </c>
      <c r="AD23" s="3">
        <f t="shared" si="90"/>
        <v>56</v>
      </c>
      <c r="AE23" s="3">
        <f t="shared" si="90"/>
        <v>56</v>
      </c>
      <c r="AF23" s="3">
        <f t="shared" si="90"/>
        <v>56</v>
      </c>
      <c r="AH23" s="3">
        <f t="shared" ref="AH23:AS23" si="91">IF(AND(AH$5&gt;=$C23,AH$5&lt;=$D23),$E23,0)</f>
        <v>56</v>
      </c>
      <c r="AI23" s="3">
        <f t="shared" si="91"/>
        <v>56</v>
      </c>
      <c r="AJ23" s="3">
        <f t="shared" si="91"/>
        <v>56</v>
      </c>
      <c r="AK23" s="3">
        <f t="shared" si="91"/>
        <v>56</v>
      </c>
      <c r="AL23" s="3">
        <f t="shared" si="91"/>
        <v>56</v>
      </c>
      <c r="AM23" s="3">
        <f t="shared" si="91"/>
        <v>56</v>
      </c>
      <c r="AN23" s="3">
        <f t="shared" si="91"/>
        <v>56</v>
      </c>
      <c r="AO23" s="3">
        <f t="shared" si="91"/>
        <v>56</v>
      </c>
      <c r="AP23" s="3">
        <f t="shared" si="91"/>
        <v>56</v>
      </c>
      <c r="AQ23" s="3">
        <f t="shared" si="91"/>
        <v>56</v>
      </c>
      <c r="AR23" s="3">
        <f t="shared" si="91"/>
        <v>56</v>
      </c>
      <c r="AS23" s="3">
        <f t="shared" si="91"/>
        <v>56</v>
      </c>
      <c r="AU23" s="3">
        <f t="shared" ref="AU23:BF23" si="92">IF(AND(AU$5&gt;=$C23,AU$5&lt;=$D23),$E23,0)</f>
        <v>56</v>
      </c>
      <c r="AV23" s="3">
        <f t="shared" si="92"/>
        <v>56</v>
      </c>
      <c r="AW23" s="3">
        <f t="shared" si="92"/>
        <v>56</v>
      </c>
      <c r="AX23" s="3">
        <f t="shared" si="92"/>
        <v>56</v>
      </c>
      <c r="AY23" s="3">
        <f t="shared" si="92"/>
        <v>56</v>
      </c>
      <c r="AZ23" s="3">
        <f t="shared" si="92"/>
        <v>56</v>
      </c>
      <c r="BA23" s="3">
        <f t="shared" si="92"/>
        <v>56</v>
      </c>
      <c r="BB23" s="3">
        <f t="shared" si="92"/>
        <v>56</v>
      </c>
      <c r="BC23" s="3">
        <f t="shared" si="92"/>
        <v>56</v>
      </c>
      <c r="BD23" s="3">
        <f t="shared" si="92"/>
        <v>56</v>
      </c>
      <c r="BE23" s="3">
        <f t="shared" si="92"/>
        <v>56</v>
      </c>
      <c r="BF23" s="3">
        <f t="shared" si="92"/>
        <v>56</v>
      </c>
      <c r="BG23" s="2"/>
      <c r="BH23" s="3">
        <f t="shared" ref="BH23:BS23" si="93">IF(AND(BH$5&gt;=$C23,BH$5&lt;=$D23),$E23,0)</f>
        <v>56</v>
      </c>
      <c r="BI23" s="3">
        <f t="shared" si="93"/>
        <v>56</v>
      </c>
      <c r="BJ23" s="3">
        <f t="shared" si="93"/>
        <v>56</v>
      </c>
      <c r="BK23" s="3">
        <f t="shared" si="93"/>
        <v>56</v>
      </c>
      <c r="BL23" s="3">
        <f t="shared" si="93"/>
        <v>56</v>
      </c>
      <c r="BM23" s="3">
        <f t="shared" si="93"/>
        <v>56</v>
      </c>
      <c r="BN23" s="3">
        <f t="shared" si="93"/>
        <v>56</v>
      </c>
      <c r="BO23" s="3">
        <f t="shared" si="93"/>
        <v>56</v>
      </c>
      <c r="BP23" s="3">
        <f t="shared" si="93"/>
        <v>56</v>
      </c>
      <c r="BQ23" s="3">
        <f t="shared" si="93"/>
        <v>56</v>
      </c>
      <c r="BR23" s="3">
        <f t="shared" si="93"/>
        <v>56</v>
      </c>
      <c r="BS23" s="3">
        <f t="shared" si="93"/>
        <v>56</v>
      </c>
      <c r="BT23" s="2"/>
    </row>
    <row r="24" spans="1:72" ht="15.75" customHeight="1">
      <c r="A24" s="54" t="str">
        <f>IF('Capital purchases'!C28="","",'Capital purchases'!C28)</f>
        <v>Cookware</v>
      </c>
      <c r="B24" s="2"/>
      <c r="C24" s="2">
        <f>IF($A24="","",'Capital purchases'!B28)</f>
        <v>1</v>
      </c>
      <c r="D24" s="3">
        <f>IF($A24="","",'Capital purchases'!J28)</f>
        <v>181</v>
      </c>
      <c r="E24" s="161">
        <f>IF($A24="","",'Capital purchases'!I28)</f>
        <v>11</v>
      </c>
      <c r="H24" s="3">
        <f t="shared" ref="H24:S24" si="94">IF(AND(H$5&gt;=$C24,H$5&lt;=$D24),$E24,0)</f>
        <v>11</v>
      </c>
      <c r="I24" s="3">
        <f t="shared" si="94"/>
        <v>11</v>
      </c>
      <c r="J24" s="3">
        <f t="shared" si="94"/>
        <v>11</v>
      </c>
      <c r="K24" s="3">
        <f t="shared" si="94"/>
        <v>11</v>
      </c>
      <c r="L24" s="3">
        <f t="shared" si="94"/>
        <v>11</v>
      </c>
      <c r="M24" s="3">
        <f t="shared" si="94"/>
        <v>11</v>
      </c>
      <c r="N24" s="3">
        <f t="shared" si="94"/>
        <v>11</v>
      </c>
      <c r="O24" s="3">
        <f t="shared" si="94"/>
        <v>11</v>
      </c>
      <c r="P24" s="3">
        <f t="shared" si="94"/>
        <v>11</v>
      </c>
      <c r="Q24" s="3">
        <f t="shared" si="94"/>
        <v>11</v>
      </c>
      <c r="R24" s="3">
        <f t="shared" si="94"/>
        <v>11</v>
      </c>
      <c r="S24" s="3">
        <f t="shared" si="94"/>
        <v>11</v>
      </c>
      <c r="U24" s="3">
        <f t="shared" ref="U24:AF24" si="95">IF(AND(U$5&gt;=$C24,U$5&lt;=$D24),$E24,0)</f>
        <v>11</v>
      </c>
      <c r="V24" s="3">
        <f t="shared" si="95"/>
        <v>11</v>
      </c>
      <c r="W24" s="3">
        <f t="shared" si="95"/>
        <v>11</v>
      </c>
      <c r="X24" s="3">
        <f t="shared" si="95"/>
        <v>11</v>
      </c>
      <c r="Y24" s="3">
        <f t="shared" si="95"/>
        <v>11</v>
      </c>
      <c r="Z24" s="3">
        <f t="shared" si="95"/>
        <v>11</v>
      </c>
      <c r="AA24" s="3">
        <f t="shared" si="95"/>
        <v>11</v>
      </c>
      <c r="AB24" s="3">
        <f t="shared" si="95"/>
        <v>11</v>
      </c>
      <c r="AC24" s="3">
        <f t="shared" si="95"/>
        <v>11</v>
      </c>
      <c r="AD24" s="3">
        <f t="shared" si="95"/>
        <v>11</v>
      </c>
      <c r="AE24" s="3">
        <f t="shared" si="95"/>
        <v>11</v>
      </c>
      <c r="AF24" s="3">
        <f t="shared" si="95"/>
        <v>11</v>
      </c>
      <c r="AH24" s="3">
        <f t="shared" ref="AH24:AS24" si="96">IF(AND(AH$5&gt;=$C24,AH$5&lt;=$D24),$E24,0)</f>
        <v>11</v>
      </c>
      <c r="AI24" s="3">
        <f t="shared" si="96"/>
        <v>11</v>
      </c>
      <c r="AJ24" s="3">
        <f t="shared" si="96"/>
        <v>11</v>
      </c>
      <c r="AK24" s="3">
        <f t="shared" si="96"/>
        <v>11</v>
      </c>
      <c r="AL24" s="3">
        <f t="shared" si="96"/>
        <v>11</v>
      </c>
      <c r="AM24" s="3">
        <f t="shared" si="96"/>
        <v>11</v>
      </c>
      <c r="AN24" s="3">
        <f t="shared" si="96"/>
        <v>11</v>
      </c>
      <c r="AO24" s="3">
        <f t="shared" si="96"/>
        <v>11</v>
      </c>
      <c r="AP24" s="3">
        <f t="shared" si="96"/>
        <v>11</v>
      </c>
      <c r="AQ24" s="3">
        <f t="shared" si="96"/>
        <v>11</v>
      </c>
      <c r="AR24" s="3">
        <f t="shared" si="96"/>
        <v>11</v>
      </c>
      <c r="AS24" s="3">
        <f t="shared" si="96"/>
        <v>11</v>
      </c>
      <c r="AU24" s="3">
        <f t="shared" ref="AU24:BF24" si="97">IF(AND(AU$5&gt;=$C24,AU$5&lt;=$D24),$E24,0)</f>
        <v>11</v>
      </c>
      <c r="AV24" s="3">
        <f t="shared" si="97"/>
        <v>11</v>
      </c>
      <c r="AW24" s="3">
        <f t="shared" si="97"/>
        <v>11</v>
      </c>
      <c r="AX24" s="3">
        <f t="shared" si="97"/>
        <v>11</v>
      </c>
      <c r="AY24" s="3">
        <f t="shared" si="97"/>
        <v>11</v>
      </c>
      <c r="AZ24" s="3">
        <f t="shared" si="97"/>
        <v>11</v>
      </c>
      <c r="BA24" s="3">
        <f t="shared" si="97"/>
        <v>11</v>
      </c>
      <c r="BB24" s="3">
        <f t="shared" si="97"/>
        <v>11</v>
      </c>
      <c r="BC24" s="3">
        <f t="shared" si="97"/>
        <v>11</v>
      </c>
      <c r="BD24" s="3">
        <f t="shared" si="97"/>
        <v>11</v>
      </c>
      <c r="BE24" s="3">
        <f t="shared" si="97"/>
        <v>11</v>
      </c>
      <c r="BF24" s="3">
        <f t="shared" si="97"/>
        <v>11</v>
      </c>
      <c r="BG24" s="2"/>
      <c r="BH24" s="3">
        <f t="shared" ref="BH24:BS24" si="98">IF(AND(BH$5&gt;=$C24,BH$5&lt;=$D24),$E24,0)</f>
        <v>11</v>
      </c>
      <c r="BI24" s="3">
        <f t="shared" si="98"/>
        <v>11</v>
      </c>
      <c r="BJ24" s="3">
        <f t="shared" si="98"/>
        <v>11</v>
      </c>
      <c r="BK24" s="3">
        <f t="shared" si="98"/>
        <v>11</v>
      </c>
      <c r="BL24" s="3">
        <f t="shared" si="98"/>
        <v>11</v>
      </c>
      <c r="BM24" s="3">
        <f t="shared" si="98"/>
        <v>11</v>
      </c>
      <c r="BN24" s="3">
        <f t="shared" si="98"/>
        <v>11</v>
      </c>
      <c r="BO24" s="3">
        <f t="shared" si="98"/>
        <v>11</v>
      </c>
      <c r="BP24" s="3">
        <f t="shared" si="98"/>
        <v>11</v>
      </c>
      <c r="BQ24" s="3">
        <f t="shared" si="98"/>
        <v>11</v>
      </c>
      <c r="BR24" s="3">
        <f t="shared" si="98"/>
        <v>11</v>
      </c>
      <c r="BS24" s="3">
        <f t="shared" si="98"/>
        <v>11</v>
      </c>
      <c r="BT24" s="2"/>
    </row>
    <row r="25" spans="1:72" ht="15.75" customHeight="1">
      <c r="A25" s="54" t="str">
        <f>IF('Capital purchases'!C29="","",'Capital purchases'!C29)</f>
        <v>Dishes, silverware</v>
      </c>
      <c r="B25" s="2"/>
      <c r="C25" s="2">
        <f>IF($A25="","",'Capital purchases'!B29)</f>
        <v>1</v>
      </c>
      <c r="D25" s="3">
        <f>IF($A25="","",'Capital purchases'!J29)</f>
        <v>61</v>
      </c>
      <c r="E25" s="161">
        <f>IF($A25="","",'Capital purchases'!I29)</f>
        <v>25</v>
      </c>
      <c r="H25" s="3">
        <f t="shared" ref="H25:S25" si="99">IF(AND(H$5&gt;=$C25,H$5&lt;=$D25),$E25,0)</f>
        <v>25</v>
      </c>
      <c r="I25" s="3">
        <f t="shared" si="99"/>
        <v>25</v>
      </c>
      <c r="J25" s="3">
        <f t="shared" si="99"/>
        <v>25</v>
      </c>
      <c r="K25" s="3">
        <f t="shared" si="99"/>
        <v>25</v>
      </c>
      <c r="L25" s="3">
        <f t="shared" si="99"/>
        <v>25</v>
      </c>
      <c r="M25" s="3">
        <f t="shared" si="99"/>
        <v>25</v>
      </c>
      <c r="N25" s="3">
        <f t="shared" si="99"/>
        <v>25</v>
      </c>
      <c r="O25" s="3">
        <f t="shared" si="99"/>
        <v>25</v>
      </c>
      <c r="P25" s="3">
        <f t="shared" si="99"/>
        <v>25</v>
      </c>
      <c r="Q25" s="3">
        <f t="shared" si="99"/>
        <v>25</v>
      </c>
      <c r="R25" s="3">
        <f t="shared" si="99"/>
        <v>25</v>
      </c>
      <c r="S25" s="3">
        <f t="shared" si="99"/>
        <v>25</v>
      </c>
      <c r="U25" s="3">
        <f t="shared" ref="U25:AF25" si="100">IF(AND(U$5&gt;=$C25,U$5&lt;=$D25),$E25,0)</f>
        <v>25</v>
      </c>
      <c r="V25" s="3">
        <f t="shared" si="100"/>
        <v>25</v>
      </c>
      <c r="W25" s="3">
        <f t="shared" si="100"/>
        <v>25</v>
      </c>
      <c r="X25" s="3">
        <f t="shared" si="100"/>
        <v>25</v>
      </c>
      <c r="Y25" s="3">
        <f t="shared" si="100"/>
        <v>25</v>
      </c>
      <c r="Z25" s="3">
        <f t="shared" si="100"/>
        <v>25</v>
      </c>
      <c r="AA25" s="3">
        <f t="shared" si="100"/>
        <v>25</v>
      </c>
      <c r="AB25" s="3">
        <f t="shared" si="100"/>
        <v>25</v>
      </c>
      <c r="AC25" s="3">
        <f t="shared" si="100"/>
        <v>25</v>
      </c>
      <c r="AD25" s="3">
        <f t="shared" si="100"/>
        <v>25</v>
      </c>
      <c r="AE25" s="3">
        <f t="shared" si="100"/>
        <v>25</v>
      </c>
      <c r="AF25" s="3">
        <f t="shared" si="100"/>
        <v>25</v>
      </c>
      <c r="AH25" s="3">
        <f t="shared" ref="AH25:AS25" si="101">IF(AND(AH$5&gt;=$C25,AH$5&lt;=$D25),$E25,0)</f>
        <v>25</v>
      </c>
      <c r="AI25" s="3">
        <f t="shared" si="101"/>
        <v>25</v>
      </c>
      <c r="AJ25" s="3">
        <f t="shared" si="101"/>
        <v>25</v>
      </c>
      <c r="AK25" s="3">
        <f t="shared" si="101"/>
        <v>25</v>
      </c>
      <c r="AL25" s="3">
        <f t="shared" si="101"/>
        <v>25</v>
      </c>
      <c r="AM25" s="3">
        <f t="shared" si="101"/>
        <v>25</v>
      </c>
      <c r="AN25" s="3">
        <f t="shared" si="101"/>
        <v>25</v>
      </c>
      <c r="AO25" s="3">
        <f t="shared" si="101"/>
        <v>25</v>
      </c>
      <c r="AP25" s="3">
        <f t="shared" si="101"/>
        <v>25</v>
      </c>
      <c r="AQ25" s="3">
        <f t="shared" si="101"/>
        <v>25</v>
      </c>
      <c r="AR25" s="3">
        <f t="shared" si="101"/>
        <v>25</v>
      </c>
      <c r="AS25" s="3">
        <f t="shared" si="101"/>
        <v>25</v>
      </c>
      <c r="AU25" s="3">
        <f t="shared" ref="AU25:BF25" si="102">IF(AND(AU$5&gt;=$C25,AU$5&lt;=$D25),$E25,0)</f>
        <v>25</v>
      </c>
      <c r="AV25" s="3">
        <f t="shared" si="102"/>
        <v>25</v>
      </c>
      <c r="AW25" s="3">
        <f t="shared" si="102"/>
        <v>25</v>
      </c>
      <c r="AX25" s="3">
        <f t="shared" si="102"/>
        <v>25</v>
      </c>
      <c r="AY25" s="3">
        <f t="shared" si="102"/>
        <v>25</v>
      </c>
      <c r="AZ25" s="3">
        <f t="shared" si="102"/>
        <v>25</v>
      </c>
      <c r="BA25" s="3">
        <f t="shared" si="102"/>
        <v>25</v>
      </c>
      <c r="BB25" s="3">
        <f t="shared" si="102"/>
        <v>25</v>
      </c>
      <c r="BC25" s="3">
        <f t="shared" si="102"/>
        <v>25</v>
      </c>
      <c r="BD25" s="3">
        <f t="shared" si="102"/>
        <v>25</v>
      </c>
      <c r="BE25" s="3">
        <f t="shared" si="102"/>
        <v>25</v>
      </c>
      <c r="BF25" s="3">
        <f t="shared" si="102"/>
        <v>25</v>
      </c>
      <c r="BG25" s="2"/>
      <c r="BH25" s="3">
        <f t="shared" ref="BH25:BS25" si="103">IF(AND(BH$5&gt;=$C25,BH$5&lt;=$D25),$E25,0)</f>
        <v>25</v>
      </c>
      <c r="BI25" s="3">
        <f t="shared" si="103"/>
        <v>25</v>
      </c>
      <c r="BJ25" s="3">
        <f t="shared" si="103"/>
        <v>25</v>
      </c>
      <c r="BK25" s="3">
        <f t="shared" si="103"/>
        <v>25</v>
      </c>
      <c r="BL25" s="3">
        <f t="shared" si="103"/>
        <v>25</v>
      </c>
      <c r="BM25" s="3">
        <f t="shared" si="103"/>
        <v>25</v>
      </c>
      <c r="BN25" s="3">
        <f t="shared" si="103"/>
        <v>25</v>
      </c>
      <c r="BO25" s="3">
        <f t="shared" si="103"/>
        <v>25</v>
      </c>
      <c r="BP25" s="3">
        <f t="shared" si="103"/>
        <v>25</v>
      </c>
      <c r="BQ25" s="3">
        <f t="shared" si="103"/>
        <v>25</v>
      </c>
      <c r="BR25" s="3">
        <f t="shared" si="103"/>
        <v>25</v>
      </c>
      <c r="BS25" s="3">
        <f t="shared" si="103"/>
        <v>25</v>
      </c>
      <c r="BT25" s="2"/>
    </row>
    <row r="26" spans="1:72" ht="15.75" customHeight="1">
      <c r="A26" s="54" t="str">
        <f>IF('Capital purchases'!C30="","",'Capital purchases'!C30)</f>
        <v>Barware</v>
      </c>
      <c r="B26" s="2"/>
      <c r="C26" s="2">
        <f>IF($A26="","",'Capital purchases'!B30)</f>
        <v>1</v>
      </c>
      <c r="D26" s="3">
        <f>IF($A26="","",'Capital purchases'!J30)</f>
        <v>61</v>
      </c>
      <c r="E26" s="161">
        <f>IF($A26="","",'Capital purchases'!I30)</f>
        <v>33</v>
      </c>
      <c r="H26" s="3">
        <f t="shared" ref="H26:S26" si="104">IF(AND(H$5&gt;=$C26,H$5&lt;=$D26),$E26,0)</f>
        <v>33</v>
      </c>
      <c r="I26" s="3">
        <f t="shared" si="104"/>
        <v>33</v>
      </c>
      <c r="J26" s="3">
        <f t="shared" si="104"/>
        <v>33</v>
      </c>
      <c r="K26" s="3">
        <f t="shared" si="104"/>
        <v>33</v>
      </c>
      <c r="L26" s="3">
        <f t="shared" si="104"/>
        <v>33</v>
      </c>
      <c r="M26" s="3">
        <f t="shared" si="104"/>
        <v>33</v>
      </c>
      <c r="N26" s="3">
        <f t="shared" si="104"/>
        <v>33</v>
      </c>
      <c r="O26" s="3">
        <f t="shared" si="104"/>
        <v>33</v>
      </c>
      <c r="P26" s="3">
        <f t="shared" si="104"/>
        <v>33</v>
      </c>
      <c r="Q26" s="3">
        <f t="shared" si="104"/>
        <v>33</v>
      </c>
      <c r="R26" s="3">
        <f t="shared" si="104"/>
        <v>33</v>
      </c>
      <c r="S26" s="3">
        <f t="shared" si="104"/>
        <v>33</v>
      </c>
      <c r="U26" s="3">
        <f t="shared" ref="U26:AF26" si="105">IF(AND(U$5&gt;=$C26,U$5&lt;=$D26),$E26,0)</f>
        <v>33</v>
      </c>
      <c r="V26" s="3">
        <f t="shared" si="105"/>
        <v>33</v>
      </c>
      <c r="W26" s="3">
        <f t="shared" si="105"/>
        <v>33</v>
      </c>
      <c r="X26" s="3">
        <f t="shared" si="105"/>
        <v>33</v>
      </c>
      <c r="Y26" s="3">
        <f t="shared" si="105"/>
        <v>33</v>
      </c>
      <c r="Z26" s="3">
        <f t="shared" si="105"/>
        <v>33</v>
      </c>
      <c r="AA26" s="3">
        <f t="shared" si="105"/>
        <v>33</v>
      </c>
      <c r="AB26" s="3">
        <f t="shared" si="105"/>
        <v>33</v>
      </c>
      <c r="AC26" s="3">
        <f t="shared" si="105"/>
        <v>33</v>
      </c>
      <c r="AD26" s="3">
        <f t="shared" si="105"/>
        <v>33</v>
      </c>
      <c r="AE26" s="3">
        <f t="shared" si="105"/>
        <v>33</v>
      </c>
      <c r="AF26" s="3">
        <f t="shared" si="105"/>
        <v>33</v>
      </c>
      <c r="AH26" s="3">
        <f t="shared" ref="AH26:AS26" si="106">IF(AND(AH$5&gt;=$C26,AH$5&lt;=$D26),$E26,0)</f>
        <v>33</v>
      </c>
      <c r="AI26" s="3">
        <f t="shared" si="106"/>
        <v>33</v>
      </c>
      <c r="AJ26" s="3">
        <f t="shared" si="106"/>
        <v>33</v>
      </c>
      <c r="AK26" s="3">
        <f t="shared" si="106"/>
        <v>33</v>
      </c>
      <c r="AL26" s="3">
        <f t="shared" si="106"/>
        <v>33</v>
      </c>
      <c r="AM26" s="3">
        <f t="shared" si="106"/>
        <v>33</v>
      </c>
      <c r="AN26" s="3">
        <f t="shared" si="106"/>
        <v>33</v>
      </c>
      <c r="AO26" s="3">
        <f t="shared" si="106"/>
        <v>33</v>
      </c>
      <c r="AP26" s="3">
        <f t="shared" si="106"/>
        <v>33</v>
      </c>
      <c r="AQ26" s="3">
        <f t="shared" si="106"/>
        <v>33</v>
      </c>
      <c r="AR26" s="3">
        <f t="shared" si="106"/>
        <v>33</v>
      </c>
      <c r="AS26" s="3">
        <f t="shared" si="106"/>
        <v>33</v>
      </c>
      <c r="AU26" s="3">
        <f t="shared" ref="AU26:BF26" si="107">IF(AND(AU$5&gt;=$C26,AU$5&lt;=$D26),$E26,0)</f>
        <v>33</v>
      </c>
      <c r="AV26" s="3">
        <f t="shared" si="107"/>
        <v>33</v>
      </c>
      <c r="AW26" s="3">
        <f t="shared" si="107"/>
        <v>33</v>
      </c>
      <c r="AX26" s="3">
        <f t="shared" si="107"/>
        <v>33</v>
      </c>
      <c r="AY26" s="3">
        <f t="shared" si="107"/>
        <v>33</v>
      </c>
      <c r="AZ26" s="3">
        <f t="shared" si="107"/>
        <v>33</v>
      </c>
      <c r="BA26" s="3">
        <f t="shared" si="107"/>
        <v>33</v>
      </c>
      <c r="BB26" s="3">
        <f t="shared" si="107"/>
        <v>33</v>
      </c>
      <c r="BC26" s="3">
        <f t="shared" si="107"/>
        <v>33</v>
      </c>
      <c r="BD26" s="3">
        <f t="shared" si="107"/>
        <v>33</v>
      </c>
      <c r="BE26" s="3">
        <f t="shared" si="107"/>
        <v>33</v>
      </c>
      <c r="BF26" s="3">
        <f t="shared" si="107"/>
        <v>33</v>
      </c>
      <c r="BG26" s="2"/>
      <c r="BH26" s="3">
        <f t="shared" ref="BH26:BS26" si="108">IF(AND(BH$5&gt;=$C26,BH$5&lt;=$D26),$E26,0)</f>
        <v>33</v>
      </c>
      <c r="BI26" s="3">
        <f t="shared" si="108"/>
        <v>33</v>
      </c>
      <c r="BJ26" s="3">
        <f t="shared" si="108"/>
        <v>33</v>
      </c>
      <c r="BK26" s="3">
        <f t="shared" si="108"/>
        <v>33</v>
      </c>
      <c r="BL26" s="3">
        <f t="shared" si="108"/>
        <v>33</v>
      </c>
      <c r="BM26" s="3">
        <f t="shared" si="108"/>
        <v>33</v>
      </c>
      <c r="BN26" s="3">
        <f t="shared" si="108"/>
        <v>33</v>
      </c>
      <c r="BO26" s="3">
        <f t="shared" si="108"/>
        <v>33</v>
      </c>
      <c r="BP26" s="3">
        <f t="shared" si="108"/>
        <v>33</v>
      </c>
      <c r="BQ26" s="3">
        <f t="shared" si="108"/>
        <v>33</v>
      </c>
      <c r="BR26" s="3">
        <f t="shared" si="108"/>
        <v>33</v>
      </c>
      <c r="BS26" s="3">
        <f t="shared" si="108"/>
        <v>33</v>
      </c>
      <c r="BT26" s="2"/>
    </row>
    <row r="27" spans="1:72" ht="15.75" customHeight="1">
      <c r="A27" s="54" t="str">
        <f>IF('Capital purchases'!C31="","",'Capital purchases'!C31)</f>
        <v>ERP</v>
      </c>
      <c r="B27" s="2"/>
      <c r="C27" s="2">
        <f>IF($A27="","",'Capital purchases'!B31)</f>
        <v>1</v>
      </c>
      <c r="D27" s="3">
        <f>IF($A27="","",'Capital purchases'!J31)</f>
        <v>181</v>
      </c>
      <c r="E27" s="161">
        <f>IF($A27="","",'Capital purchases'!I31)</f>
        <v>56</v>
      </c>
      <c r="H27" s="3">
        <f t="shared" ref="H27:S27" si="109">IF(AND(H$5&gt;=$C27,H$5&lt;=$D27),$E27,0)</f>
        <v>56</v>
      </c>
      <c r="I27" s="3">
        <f t="shared" si="109"/>
        <v>56</v>
      </c>
      <c r="J27" s="3">
        <f t="shared" si="109"/>
        <v>56</v>
      </c>
      <c r="K27" s="3">
        <f t="shared" si="109"/>
        <v>56</v>
      </c>
      <c r="L27" s="3">
        <f t="shared" si="109"/>
        <v>56</v>
      </c>
      <c r="M27" s="3">
        <f t="shared" si="109"/>
        <v>56</v>
      </c>
      <c r="N27" s="3">
        <f t="shared" si="109"/>
        <v>56</v>
      </c>
      <c r="O27" s="3">
        <f t="shared" si="109"/>
        <v>56</v>
      </c>
      <c r="P27" s="3">
        <f t="shared" si="109"/>
        <v>56</v>
      </c>
      <c r="Q27" s="3">
        <f t="shared" si="109"/>
        <v>56</v>
      </c>
      <c r="R27" s="3">
        <f t="shared" si="109"/>
        <v>56</v>
      </c>
      <c r="S27" s="3">
        <f t="shared" si="109"/>
        <v>56</v>
      </c>
      <c r="U27" s="3">
        <f t="shared" ref="U27:AF27" si="110">IF(AND(U$5&gt;=$C27,U$5&lt;=$D27),$E27,0)</f>
        <v>56</v>
      </c>
      <c r="V27" s="3">
        <f t="shared" si="110"/>
        <v>56</v>
      </c>
      <c r="W27" s="3">
        <f t="shared" si="110"/>
        <v>56</v>
      </c>
      <c r="X27" s="3">
        <f t="shared" si="110"/>
        <v>56</v>
      </c>
      <c r="Y27" s="3">
        <f t="shared" si="110"/>
        <v>56</v>
      </c>
      <c r="Z27" s="3">
        <f t="shared" si="110"/>
        <v>56</v>
      </c>
      <c r="AA27" s="3">
        <f t="shared" si="110"/>
        <v>56</v>
      </c>
      <c r="AB27" s="3">
        <f t="shared" si="110"/>
        <v>56</v>
      </c>
      <c r="AC27" s="3">
        <f t="shared" si="110"/>
        <v>56</v>
      </c>
      <c r="AD27" s="3">
        <f t="shared" si="110"/>
        <v>56</v>
      </c>
      <c r="AE27" s="3">
        <f t="shared" si="110"/>
        <v>56</v>
      </c>
      <c r="AF27" s="3">
        <f t="shared" si="110"/>
        <v>56</v>
      </c>
      <c r="AH27" s="3">
        <f t="shared" ref="AH27:AS27" si="111">IF(AND(AH$5&gt;=$C27,AH$5&lt;=$D27),$E27,0)</f>
        <v>56</v>
      </c>
      <c r="AI27" s="3">
        <f t="shared" si="111"/>
        <v>56</v>
      </c>
      <c r="AJ27" s="3">
        <f t="shared" si="111"/>
        <v>56</v>
      </c>
      <c r="AK27" s="3">
        <f t="shared" si="111"/>
        <v>56</v>
      </c>
      <c r="AL27" s="3">
        <f t="shared" si="111"/>
        <v>56</v>
      </c>
      <c r="AM27" s="3">
        <f t="shared" si="111"/>
        <v>56</v>
      </c>
      <c r="AN27" s="3">
        <f t="shared" si="111"/>
        <v>56</v>
      </c>
      <c r="AO27" s="3">
        <f t="shared" si="111"/>
        <v>56</v>
      </c>
      <c r="AP27" s="3">
        <f t="shared" si="111"/>
        <v>56</v>
      </c>
      <c r="AQ27" s="3">
        <f t="shared" si="111"/>
        <v>56</v>
      </c>
      <c r="AR27" s="3">
        <f t="shared" si="111"/>
        <v>56</v>
      </c>
      <c r="AS27" s="3">
        <f t="shared" si="111"/>
        <v>56</v>
      </c>
      <c r="AU27" s="3">
        <f t="shared" ref="AU27:BF27" si="112">IF(AND(AU$5&gt;=$C27,AU$5&lt;=$D27),$E27,0)</f>
        <v>56</v>
      </c>
      <c r="AV27" s="3">
        <f t="shared" si="112"/>
        <v>56</v>
      </c>
      <c r="AW27" s="3">
        <f t="shared" si="112"/>
        <v>56</v>
      </c>
      <c r="AX27" s="3">
        <f t="shared" si="112"/>
        <v>56</v>
      </c>
      <c r="AY27" s="3">
        <f t="shared" si="112"/>
        <v>56</v>
      </c>
      <c r="AZ27" s="3">
        <f t="shared" si="112"/>
        <v>56</v>
      </c>
      <c r="BA27" s="3">
        <f t="shared" si="112"/>
        <v>56</v>
      </c>
      <c r="BB27" s="3">
        <f t="shared" si="112"/>
        <v>56</v>
      </c>
      <c r="BC27" s="3">
        <f t="shared" si="112"/>
        <v>56</v>
      </c>
      <c r="BD27" s="3">
        <f t="shared" si="112"/>
        <v>56</v>
      </c>
      <c r="BE27" s="3">
        <f t="shared" si="112"/>
        <v>56</v>
      </c>
      <c r="BF27" s="3">
        <f t="shared" si="112"/>
        <v>56</v>
      </c>
      <c r="BG27" s="2"/>
      <c r="BH27" s="3">
        <f t="shared" ref="BH27:BS27" si="113">IF(AND(BH$5&gt;=$C27,BH$5&lt;=$D27),$E27,0)</f>
        <v>56</v>
      </c>
      <c r="BI27" s="3">
        <f t="shared" si="113"/>
        <v>56</v>
      </c>
      <c r="BJ27" s="3">
        <f t="shared" si="113"/>
        <v>56</v>
      </c>
      <c r="BK27" s="3">
        <f t="shared" si="113"/>
        <v>56</v>
      </c>
      <c r="BL27" s="3">
        <f t="shared" si="113"/>
        <v>56</v>
      </c>
      <c r="BM27" s="3">
        <f t="shared" si="113"/>
        <v>56</v>
      </c>
      <c r="BN27" s="3">
        <f t="shared" si="113"/>
        <v>56</v>
      </c>
      <c r="BO27" s="3">
        <f t="shared" si="113"/>
        <v>56</v>
      </c>
      <c r="BP27" s="3">
        <f t="shared" si="113"/>
        <v>56</v>
      </c>
      <c r="BQ27" s="3">
        <f t="shared" si="113"/>
        <v>56</v>
      </c>
      <c r="BR27" s="3">
        <f t="shared" si="113"/>
        <v>56</v>
      </c>
      <c r="BS27" s="3">
        <f t="shared" si="113"/>
        <v>56</v>
      </c>
      <c r="BT27" s="2"/>
    </row>
    <row r="28" spans="1:72" ht="15.75" customHeight="1">
      <c r="A28" s="54" t="str">
        <f>IF('Capital purchases'!C32="","",'Capital purchases'!C32)</f>
        <v>POS</v>
      </c>
      <c r="B28" s="2"/>
      <c r="C28" s="2">
        <f>IF($A28="","",'Capital purchases'!B32)</f>
        <v>1</v>
      </c>
      <c r="D28" s="3">
        <f>IF($A28="","",'Capital purchases'!J32)</f>
        <v>121</v>
      </c>
      <c r="E28" s="161">
        <f>IF($A28="","",'Capital purchases'!I32)</f>
        <v>167</v>
      </c>
      <c r="H28" s="3">
        <f t="shared" ref="H28:S28" si="114">IF(AND(H$5&gt;=$C28,H$5&lt;=$D28),$E28,0)</f>
        <v>167</v>
      </c>
      <c r="I28" s="3">
        <f t="shared" si="114"/>
        <v>167</v>
      </c>
      <c r="J28" s="3">
        <f t="shared" si="114"/>
        <v>167</v>
      </c>
      <c r="K28" s="3">
        <f t="shared" si="114"/>
        <v>167</v>
      </c>
      <c r="L28" s="3">
        <f t="shared" si="114"/>
        <v>167</v>
      </c>
      <c r="M28" s="3">
        <f t="shared" si="114"/>
        <v>167</v>
      </c>
      <c r="N28" s="3">
        <f t="shared" si="114"/>
        <v>167</v>
      </c>
      <c r="O28" s="3">
        <f t="shared" si="114"/>
        <v>167</v>
      </c>
      <c r="P28" s="3">
        <f t="shared" si="114"/>
        <v>167</v>
      </c>
      <c r="Q28" s="3">
        <f t="shared" si="114"/>
        <v>167</v>
      </c>
      <c r="R28" s="3">
        <f t="shared" si="114"/>
        <v>167</v>
      </c>
      <c r="S28" s="3">
        <f t="shared" si="114"/>
        <v>167</v>
      </c>
      <c r="U28" s="3">
        <f t="shared" ref="U28:AF28" si="115">IF(AND(U$5&gt;=$C28,U$5&lt;=$D28),$E28,0)</f>
        <v>167</v>
      </c>
      <c r="V28" s="3">
        <f t="shared" si="115"/>
        <v>167</v>
      </c>
      <c r="W28" s="3">
        <f t="shared" si="115"/>
        <v>167</v>
      </c>
      <c r="X28" s="3">
        <f t="shared" si="115"/>
        <v>167</v>
      </c>
      <c r="Y28" s="3">
        <f t="shared" si="115"/>
        <v>167</v>
      </c>
      <c r="Z28" s="3">
        <f t="shared" si="115"/>
        <v>167</v>
      </c>
      <c r="AA28" s="3">
        <f t="shared" si="115"/>
        <v>167</v>
      </c>
      <c r="AB28" s="3">
        <f t="shared" si="115"/>
        <v>167</v>
      </c>
      <c r="AC28" s="3">
        <f t="shared" si="115"/>
        <v>167</v>
      </c>
      <c r="AD28" s="3">
        <f t="shared" si="115"/>
        <v>167</v>
      </c>
      <c r="AE28" s="3">
        <f t="shared" si="115"/>
        <v>167</v>
      </c>
      <c r="AF28" s="3">
        <f t="shared" si="115"/>
        <v>167</v>
      </c>
      <c r="AH28" s="3">
        <f t="shared" ref="AH28:AS28" si="116">IF(AND(AH$5&gt;=$C28,AH$5&lt;=$D28),$E28,0)</f>
        <v>167</v>
      </c>
      <c r="AI28" s="3">
        <f t="shared" si="116"/>
        <v>167</v>
      </c>
      <c r="AJ28" s="3">
        <f t="shared" si="116"/>
        <v>167</v>
      </c>
      <c r="AK28" s="3">
        <f t="shared" si="116"/>
        <v>167</v>
      </c>
      <c r="AL28" s="3">
        <f t="shared" si="116"/>
        <v>167</v>
      </c>
      <c r="AM28" s="3">
        <f t="shared" si="116"/>
        <v>167</v>
      </c>
      <c r="AN28" s="3">
        <f t="shared" si="116"/>
        <v>167</v>
      </c>
      <c r="AO28" s="3">
        <f t="shared" si="116"/>
        <v>167</v>
      </c>
      <c r="AP28" s="3">
        <f t="shared" si="116"/>
        <v>167</v>
      </c>
      <c r="AQ28" s="3">
        <f t="shared" si="116"/>
        <v>167</v>
      </c>
      <c r="AR28" s="3">
        <f t="shared" si="116"/>
        <v>167</v>
      </c>
      <c r="AS28" s="3">
        <f t="shared" si="116"/>
        <v>167</v>
      </c>
      <c r="AU28" s="3">
        <f t="shared" ref="AU28:BF28" si="117">IF(AND(AU$5&gt;=$C28,AU$5&lt;=$D28),$E28,0)</f>
        <v>167</v>
      </c>
      <c r="AV28" s="3">
        <f t="shared" si="117"/>
        <v>167</v>
      </c>
      <c r="AW28" s="3">
        <f t="shared" si="117"/>
        <v>167</v>
      </c>
      <c r="AX28" s="3">
        <f t="shared" si="117"/>
        <v>167</v>
      </c>
      <c r="AY28" s="3">
        <f t="shared" si="117"/>
        <v>167</v>
      </c>
      <c r="AZ28" s="3">
        <f t="shared" si="117"/>
        <v>167</v>
      </c>
      <c r="BA28" s="3">
        <f t="shared" si="117"/>
        <v>167</v>
      </c>
      <c r="BB28" s="3">
        <f t="shared" si="117"/>
        <v>167</v>
      </c>
      <c r="BC28" s="3">
        <f t="shared" si="117"/>
        <v>167</v>
      </c>
      <c r="BD28" s="3">
        <f t="shared" si="117"/>
        <v>167</v>
      </c>
      <c r="BE28" s="3">
        <f t="shared" si="117"/>
        <v>167</v>
      </c>
      <c r="BF28" s="3">
        <f t="shared" si="117"/>
        <v>167</v>
      </c>
      <c r="BG28" s="2"/>
      <c r="BH28" s="3">
        <f t="shared" ref="BH28:BS28" si="118">IF(AND(BH$5&gt;=$C28,BH$5&lt;=$D28),$E28,0)</f>
        <v>167</v>
      </c>
      <c r="BI28" s="3">
        <f t="shared" si="118"/>
        <v>167</v>
      </c>
      <c r="BJ28" s="3">
        <f t="shared" si="118"/>
        <v>167</v>
      </c>
      <c r="BK28" s="3">
        <f t="shared" si="118"/>
        <v>167</v>
      </c>
      <c r="BL28" s="3">
        <f t="shared" si="118"/>
        <v>167</v>
      </c>
      <c r="BM28" s="3">
        <f t="shared" si="118"/>
        <v>167</v>
      </c>
      <c r="BN28" s="3">
        <f t="shared" si="118"/>
        <v>167</v>
      </c>
      <c r="BO28" s="3">
        <f t="shared" si="118"/>
        <v>167</v>
      </c>
      <c r="BP28" s="3">
        <f t="shared" si="118"/>
        <v>167</v>
      </c>
      <c r="BQ28" s="3">
        <f t="shared" si="118"/>
        <v>167</v>
      </c>
      <c r="BR28" s="3">
        <f t="shared" si="118"/>
        <v>167</v>
      </c>
      <c r="BS28" s="3">
        <f t="shared" si="118"/>
        <v>167</v>
      </c>
      <c r="BT28" s="2"/>
    </row>
    <row r="29" spans="1:72" ht="15.75" customHeight="1">
      <c r="A29" s="54" t="str">
        <f>IF('Capital purchases'!C33="","",'Capital purchases'!C33)</f>
        <v>IT (Other)</v>
      </c>
      <c r="B29" s="2"/>
      <c r="C29" s="2">
        <f>IF($A29="","",'Capital purchases'!B33)</f>
        <v>1</v>
      </c>
      <c r="D29" s="3">
        <f>IF($A29="","",'Capital purchases'!J33)</f>
        <v>121</v>
      </c>
      <c r="E29" s="161">
        <f>IF($A29="","",'Capital purchases'!I33)</f>
        <v>42</v>
      </c>
      <c r="H29" s="3">
        <f t="shared" ref="H29:S29" si="119">IF(AND(H$5&gt;=$C29,H$5&lt;=$D29),$E29,0)</f>
        <v>42</v>
      </c>
      <c r="I29" s="3">
        <f t="shared" si="119"/>
        <v>42</v>
      </c>
      <c r="J29" s="3">
        <f t="shared" si="119"/>
        <v>42</v>
      </c>
      <c r="K29" s="3">
        <f t="shared" si="119"/>
        <v>42</v>
      </c>
      <c r="L29" s="3">
        <f t="shared" si="119"/>
        <v>42</v>
      </c>
      <c r="M29" s="3">
        <f t="shared" si="119"/>
        <v>42</v>
      </c>
      <c r="N29" s="3">
        <f t="shared" si="119"/>
        <v>42</v>
      </c>
      <c r="O29" s="3">
        <f t="shared" si="119"/>
        <v>42</v>
      </c>
      <c r="P29" s="3">
        <f t="shared" si="119"/>
        <v>42</v>
      </c>
      <c r="Q29" s="3">
        <f t="shared" si="119"/>
        <v>42</v>
      </c>
      <c r="R29" s="3">
        <f t="shared" si="119"/>
        <v>42</v>
      </c>
      <c r="S29" s="3">
        <f t="shared" si="119"/>
        <v>42</v>
      </c>
      <c r="U29" s="3">
        <f t="shared" ref="U29:AF29" si="120">IF(AND(U$5&gt;=$C29,U$5&lt;=$D29),$E29,0)</f>
        <v>42</v>
      </c>
      <c r="V29" s="3">
        <f t="shared" si="120"/>
        <v>42</v>
      </c>
      <c r="W29" s="3">
        <f t="shared" si="120"/>
        <v>42</v>
      </c>
      <c r="X29" s="3">
        <f t="shared" si="120"/>
        <v>42</v>
      </c>
      <c r="Y29" s="3">
        <f t="shared" si="120"/>
        <v>42</v>
      </c>
      <c r="Z29" s="3">
        <f t="shared" si="120"/>
        <v>42</v>
      </c>
      <c r="AA29" s="3">
        <f t="shared" si="120"/>
        <v>42</v>
      </c>
      <c r="AB29" s="3">
        <f t="shared" si="120"/>
        <v>42</v>
      </c>
      <c r="AC29" s="3">
        <f t="shared" si="120"/>
        <v>42</v>
      </c>
      <c r="AD29" s="3">
        <f t="shared" si="120"/>
        <v>42</v>
      </c>
      <c r="AE29" s="3">
        <f t="shared" si="120"/>
        <v>42</v>
      </c>
      <c r="AF29" s="3">
        <f t="shared" si="120"/>
        <v>42</v>
      </c>
      <c r="AH29" s="3">
        <f t="shared" ref="AH29:AS29" si="121">IF(AND(AH$5&gt;=$C29,AH$5&lt;=$D29),$E29,0)</f>
        <v>42</v>
      </c>
      <c r="AI29" s="3">
        <f t="shared" si="121"/>
        <v>42</v>
      </c>
      <c r="AJ29" s="3">
        <f t="shared" si="121"/>
        <v>42</v>
      </c>
      <c r="AK29" s="3">
        <f t="shared" si="121"/>
        <v>42</v>
      </c>
      <c r="AL29" s="3">
        <f t="shared" si="121"/>
        <v>42</v>
      </c>
      <c r="AM29" s="3">
        <f t="shared" si="121"/>
        <v>42</v>
      </c>
      <c r="AN29" s="3">
        <f t="shared" si="121"/>
        <v>42</v>
      </c>
      <c r="AO29" s="3">
        <f t="shared" si="121"/>
        <v>42</v>
      </c>
      <c r="AP29" s="3">
        <f t="shared" si="121"/>
        <v>42</v>
      </c>
      <c r="AQ29" s="3">
        <f t="shared" si="121"/>
        <v>42</v>
      </c>
      <c r="AR29" s="3">
        <f t="shared" si="121"/>
        <v>42</v>
      </c>
      <c r="AS29" s="3">
        <f t="shared" si="121"/>
        <v>42</v>
      </c>
      <c r="AU29" s="3">
        <f t="shared" ref="AU29:BF29" si="122">IF(AND(AU$5&gt;=$C29,AU$5&lt;=$D29),$E29,0)</f>
        <v>42</v>
      </c>
      <c r="AV29" s="3">
        <f t="shared" si="122"/>
        <v>42</v>
      </c>
      <c r="AW29" s="3">
        <f t="shared" si="122"/>
        <v>42</v>
      </c>
      <c r="AX29" s="3">
        <f t="shared" si="122"/>
        <v>42</v>
      </c>
      <c r="AY29" s="3">
        <f t="shared" si="122"/>
        <v>42</v>
      </c>
      <c r="AZ29" s="3">
        <f t="shared" si="122"/>
        <v>42</v>
      </c>
      <c r="BA29" s="3">
        <f t="shared" si="122"/>
        <v>42</v>
      </c>
      <c r="BB29" s="3">
        <f t="shared" si="122"/>
        <v>42</v>
      </c>
      <c r="BC29" s="3">
        <f t="shared" si="122"/>
        <v>42</v>
      </c>
      <c r="BD29" s="3">
        <f t="shared" si="122"/>
        <v>42</v>
      </c>
      <c r="BE29" s="3">
        <f t="shared" si="122"/>
        <v>42</v>
      </c>
      <c r="BF29" s="3">
        <f t="shared" si="122"/>
        <v>42</v>
      </c>
      <c r="BG29" s="2"/>
      <c r="BH29" s="3">
        <f t="shared" ref="BH29:BS29" si="123">IF(AND(BH$5&gt;=$C29,BH$5&lt;=$D29),$E29,0)</f>
        <v>42</v>
      </c>
      <c r="BI29" s="3">
        <f t="shared" si="123"/>
        <v>42</v>
      </c>
      <c r="BJ29" s="3">
        <f t="shared" si="123"/>
        <v>42</v>
      </c>
      <c r="BK29" s="3">
        <f t="shared" si="123"/>
        <v>42</v>
      </c>
      <c r="BL29" s="3">
        <f t="shared" si="123"/>
        <v>42</v>
      </c>
      <c r="BM29" s="3">
        <f t="shared" si="123"/>
        <v>42</v>
      </c>
      <c r="BN29" s="3">
        <f t="shared" si="123"/>
        <v>42</v>
      </c>
      <c r="BO29" s="3">
        <f t="shared" si="123"/>
        <v>42</v>
      </c>
      <c r="BP29" s="3">
        <f t="shared" si="123"/>
        <v>42</v>
      </c>
      <c r="BQ29" s="3">
        <f t="shared" si="123"/>
        <v>42</v>
      </c>
      <c r="BR29" s="3">
        <f t="shared" si="123"/>
        <v>42</v>
      </c>
      <c r="BS29" s="3">
        <f t="shared" si="123"/>
        <v>42</v>
      </c>
      <c r="BT29" s="2"/>
    </row>
    <row r="30" spans="1:72" ht="15.75" customHeight="1">
      <c r="A30" s="54" t="str">
        <f>IF('Capital purchases'!C34="","",'Capital purchases'!C34)</f>
        <v>Contingency (10%)</v>
      </c>
      <c r="B30" s="2"/>
      <c r="C30" s="2">
        <f>IF($A30="","",'Capital purchases'!B34)</f>
        <v>1</v>
      </c>
      <c r="D30" s="3">
        <f>IF($A30="","",'Capital purchases'!J34)</f>
        <v>181</v>
      </c>
      <c r="E30" s="161">
        <f>IF($A30="","",'Capital purchases'!I34)</f>
        <v>122</v>
      </c>
      <c r="H30" s="3">
        <f t="shared" ref="H30:S30" si="124">IF(AND(H$5&gt;=$C30,H$5&lt;=$D30),$E30,0)</f>
        <v>122</v>
      </c>
      <c r="I30" s="3">
        <f t="shared" si="124"/>
        <v>122</v>
      </c>
      <c r="J30" s="3">
        <f t="shared" si="124"/>
        <v>122</v>
      </c>
      <c r="K30" s="3">
        <f t="shared" si="124"/>
        <v>122</v>
      </c>
      <c r="L30" s="3">
        <f t="shared" si="124"/>
        <v>122</v>
      </c>
      <c r="M30" s="3">
        <f t="shared" si="124"/>
        <v>122</v>
      </c>
      <c r="N30" s="3">
        <f t="shared" si="124"/>
        <v>122</v>
      </c>
      <c r="O30" s="3">
        <f t="shared" si="124"/>
        <v>122</v>
      </c>
      <c r="P30" s="3">
        <f t="shared" si="124"/>
        <v>122</v>
      </c>
      <c r="Q30" s="3">
        <f t="shared" si="124"/>
        <v>122</v>
      </c>
      <c r="R30" s="3">
        <f t="shared" si="124"/>
        <v>122</v>
      </c>
      <c r="S30" s="3">
        <f t="shared" si="124"/>
        <v>122</v>
      </c>
      <c r="U30" s="3">
        <f t="shared" ref="U30:AF30" si="125">IF(AND(U$5&gt;=$C30,U$5&lt;=$D30),$E30,0)</f>
        <v>122</v>
      </c>
      <c r="V30" s="3">
        <f t="shared" si="125"/>
        <v>122</v>
      </c>
      <c r="W30" s="3">
        <f t="shared" si="125"/>
        <v>122</v>
      </c>
      <c r="X30" s="3">
        <f t="shared" si="125"/>
        <v>122</v>
      </c>
      <c r="Y30" s="3">
        <f t="shared" si="125"/>
        <v>122</v>
      </c>
      <c r="Z30" s="3">
        <f t="shared" si="125"/>
        <v>122</v>
      </c>
      <c r="AA30" s="3">
        <f t="shared" si="125"/>
        <v>122</v>
      </c>
      <c r="AB30" s="3">
        <f t="shared" si="125"/>
        <v>122</v>
      </c>
      <c r="AC30" s="3">
        <f t="shared" si="125"/>
        <v>122</v>
      </c>
      <c r="AD30" s="3">
        <f t="shared" si="125"/>
        <v>122</v>
      </c>
      <c r="AE30" s="3">
        <f t="shared" si="125"/>
        <v>122</v>
      </c>
      <c r="AF30" s="3">
        <f t="shared" si="125"/>
        <v>122</v>
      </c>
      <c r="AH30" s="3">
        <f t="shared" ref="AH30:AS30" si="126">IF(AND(AH$5&gt;=$C30,AH$5&lt;=$D30),$E30,0)</f>
        <v>122</v>
      </c>
      <c r="AI30" s="3">
        <f t="shared" si="126"/>
        <v>122</v>
      </c>
      <c r="AJ30" s="3">
        <f t="shared" si="126"/>
        <v>122</v>
      </c>
      <c r="AK30" s="3">
        <f t="shared" si="126"/>
        <v>122</v>
      </c>
      <c r="AL30" s="3">
        <f t="shared" si="126"/>
        <v>122</v>
      </c>
      <c r="AM30" s="3">
        <f t="shared" si="126"/>
        <v>122</v>
      </c>
      <c r="AN30" s="3">
        <f t="shared" si="126"/>
        <v>122</v>
      </c>
      <c r="AO30" s="3">
        <f t="shared" si="126"/>
        <v>122</v>
      </c>
      <c r="AP30" s="3">
        <f t="shared" si="126"/>
        <v>122</v>
      </c>
      <c r="AQ30" s="3">
        <f t="shared" si="126"/>
        <v>122</v>
      </c>
      <c r="AR30" s="3">
        <f t="shared" si="126"/>
        <v>122</v>
      </c>
      <c r="AS30" s="3">
        <f t="shared" si="126"/>
        <v>122</v>
      </c>
      <c r="AU30" s="3">
        <f t="shared" ref="AU30:BF30" si="127">IF(AND(AU$5&gt;=$C30,AU$5&lt;=$D30),$E30,0)</f>
        <v>122</v>
      </c>
      <c r="AV30" s="3">
        <f t="shared" si="127"/>
        <v>122</v>
      </c>
      <c r="AW30" s="3">
        <f t="shared" si="127"/>
        <v>122</v>
      </c>
      <c r="AX30" s="3">
        <f t="shared" si="127"/>
        <v>122</v>
      </c>
      <c r="AY30" s="3">
        <f t="shared" si="127"/>
        <v>122</v>
      </c>
      <c r="AZ30" s="3">
        <f t="shared" si="127"/>
        <v>122</v>
      </c>
      <c r="BA30" s="3">
        <f t="shared" si="127"/>
        <v>122</v>
      </c>
      <c r="BB30" s="3">
        <f t="shared" si="127"/>
        <v>122</v>
      </c>
      <c r="BC30" s="3">
        <f t="shared" si="127"/>
        <v>122</v>
      </c>
      <c r="BD30" s="3">
        <f t="shared" si="127"/>
        <v>122</v>
      </c>
      <c r="BE30" s="3">
        <f t="shared" si="127"/>
        <v>122</v>
      </c>
      <c r="BF30" s="3">
        <f t="shared" si="127"/>
        <v>122</v>
      </c>
      <c r="BG30" s="2"/>
      <c r="BH30" s="3">
        <f t="shared" ref="BH30:BS30" si="128">IF(AND(BH$5&gt;=$C30,BH$5&lt;=$D30),$E30,0)</f>
        <v>122</v>
      </c>
      <c r="BI30" s="3">
        <f t="shared" si="128"/>
        <v>122</v>
      </c>
      <c r="BJ30" s="3">
        <f t="shared" si="128"/>
        <v>122</v>
      </c>
      <c r="BK30" s="3">
        <f t="shared" si="128"/>
        <v>122</v>
      </c>
      <c r="BL30" s="3">
        <f t="shared" si="128"/>
        <v>122</v>
      </c>
      <c r="BM30" s="3">
        <f t="shared" si="128"/>
        <v>122</v>
      </c>
      <c r="BN30" s="3">
        <f t="shared" si="128"/>
        <v>122</v>
      </c>
      <c r="BO30" s="3">
        <f t="shared" si="128"/>
        <v>122</v>
      </c>
      <c r="BP30" s="3">
        <f t="shared" si="128"/>
        <v>122</v>
      </c>
      <c r="BQ30" s="3">
        <f t="shared" si="128"/>
        <v>122</v>
      </c>
      <c r="BR30" s="3">
        <f t="shared" si="128"/>
        <v>122</v>
      </c>
      <c r="BS30" s="3">
        <f t="shared" si="128"/>
        <v>122</v>
      </c>
      <c r="BT30" s="2"/>
    </row>
    <row r="31" spans="1:72" ht="15.75" customHeight="1">
      <c r="A31" s="54" t="str">
        <f>IF('Capital purchases'!C35="","",'Capital purchases'!C35)</f>
        <v/>
      </c>
      <c r="B31" s="2"/>
      <c r="C31" s="2" t="str">
        <f>IF($A31="","",'Capital purchases'!B35)</f>
        <v/>
      </c>
      <c r="D31" s="3" t="str">
        <f>IF($A31="","",'Capital purchases'!J35)</f>
        <v/>
      </c>
      <c r="E31" s="161" t="str">
        <f>IF($A31="","",'Capital purchases'!I35)</f>
        <v/>
      </c>
      <c r="H31" s="3">
        <f t="shared" ref="H31:S31" si="129">IF(AND(H$5&gt;=$C31,H$5&lt;=$D31),$E31,0)</f>
        <v>0</v>
      </c>
      <c r="I31" s="3">
        <f t="shared" si="129"/>
        <v>0</v>
      </c>
      <c r="J31" s="3">
        <f t="shared" si="129"/>
        <v>0</v>
      </c>
      <c r="K31" s="3">
        <f t="shared" si="129"/>
        <v>0</v>
      </c>
      <c r="L31" s="3">
        <f t="shared" si="129"/>
        <v>0</v>
      </c>
      <c r="M31" s="3">
        <f t="shared" si="129"/>
        <v>0</v>
      </c>
      <c r="N31" s="3">
        <f t="shared" si="129"/>
        <v>0</v>
      </c>
      <c r="O31" s="3">
        <f t="shared" si="129"/>
        <v>0</v>
      </c>
      <c r="P31" s="3">
        <f t="shared" si="129"/>
        <v>0</v>
      </c>
      <c r="Q31" s="3">
        <f t="shared" si="129"/>
        <v>0</v>
      </c>
      <c r="R31" s="3">
        <f t="shared" si="129"/>
        <v>0</v>
      </c>
      <c r="S31" s="3">
        <f t="shared" si="129"/>
        <v>0</v>
      </c>
      <c r="U31" s="3">
        <f t="shared" ref="U31:AF31" si="130">IF(AND(U$5&gt;=$C31,U$5&lt;=$D31),$E31,0)</f>
        <v>0</v>
      </c>
      <c r="V31" s="3">
        <f t="shared" si="130"/>
        <v>0</v>
      </c>
      <c r="W31" s="3">
        <f t="shared" si="130"/>
        <v>0</v>
      </c>
      <c r="X31" s="3">
        <f t="shared" si="130"/>
        <v>0</v>
      </c>
      <c r="Y31" s="3">
        <f t="shared" si="130"/>
        <v>0</v>
      </c>
      <c r="Z31" s="3">
        <f t="shared" si="130"/>
        <v>0</v>
      </c>
      <c r="AA31" s="3">
        <f t="shared" si="130"/>
        <v>0</v>
      </c>
      <c r="AB31" s="3">
        <f t="shared" si="130"/>
        <v>0</v>
      </c>
      <c r="AC31" s="3">
        <f t="shared" si="130"/>
        <v>0</v>
      </c>
      <c r="AD31" s="3">
        <f t="shared" si="130"/>
        <v>0</v>
      </c>
      <c r="AE31" s="3">
        <f t="shared" si="130"/>
        <v>0</v>
      </c>
      <c r="AF31" s="3">
        <f t="shared" si="130"/>
        <v>0</v>
      </c>
      <c r="AH31" s="3">
        <f t="shared" ref="AH31:AS31" si="131">IF(AND(AH$5&gt;=$C31,AH$5&lt;=$D31),$E31,0)</f>
        <v>0</v>
      </c>
      <c r="AI31" s="3">
        <f t="shared" si="131"/>
        <v>0</v>
      </c>
      <c r="AJ31" s="3">
        <f t="shared" si="131"/>
        <v>0</v>
      </c>
      <c r="AK31" s="3">
        <f t="shared" si="131"/>
        <v>0</v>
      </c>
      <c r="AL31" s="3">
        <f t="shared" si="131"/>
        <v>0</v>
      </c>
      <c r="AM31" s="3">
        <f t="shared" si="131"/>
        <v>0</v>
      </c>
      <c r="AN31" s="3">
        <f t="shared" si="131"/>
        <v>0</v>
      </c>
      <c r="AO31" s="3">
        <f t="shared" si="131"/>
        <v>0</v>
      </c>
      <c r="AP31" s="3">
        <f t="shared" si="131"/>
        <v>0</v>
      </c>
      <c r="AQ31" s="3">
        <f t="shared" si="131"/>
        <v>0</v>
      </c>
      <c r="AR31" s="3">
        <f t="shared" si="131"/>
        <v>0</v>
      </c>
      <c r="AS31" s="3">
        <f t="shared" si="131"/>
        <v>0</v>
      </c>
      <c r="AU31" s="3">
        <f t="shared" ref="AU31:BF31" si="132">IF(AND(AU$5&gt;=$C31,AU$5&lt;=$D31),$E31,0)</f>
        <v>0</v>
      </c>
      <c r="AV31" s="3">
        <f t="shared" si="132"/>
        <v>0</v>
      </c>
      <c r="AW31" s="3">
        <f t="shared" si="132"/>
        <v>0</v>
      </c>
      <c r="AX31" s="3">
        <f t="shared" si="132"/>
        <v>0</v>
      </c>
      <c r="AY31" s="3">
        <f t="shared" si="132"/>
        <v>0</v>
      </c>
      <c r="AZ31" s="3">
        <f t="shared" si="132"/>
        <v>0</v>
      </c>
      <c r="BA31" s="3">
        <f t="shared" si="132"/>
        <v>0</v>
      </c>
      <c r="BB31" s="3">
        <f t="shared" si="132"/>
        <v>0</v>
      </c>
      <c r="BC31" s="3">
        <f t="shared" si="132"/>
        <v>0</v>
      </c>
      <c r="BD31" s="3">
        <f t="shared" si="132"/>
        <v>0</v>
      </c>
      <c r="BE31" s="3">
        <f t="shared" si="132"/>
        <v>0</v>
      </c>
      <c r="BF31" s="3">
        <f t="shared" si="132"/>
        <v>0</v>
      </c>
      <c r="BG31" s="2"/>
      <c r="BH31" s="3">
        <f t="shared" ref="BH31:BS31" si="133">IF(AND(BH$5&gt;=$C31,BH$5&lt;=$D31),$E31,0)</f>
        <v>0</v>
      </c>
      <c r="BI31" s="3">
        <f t="shared" si="133"/>
        <v>0</v>
      </c>
      <c r="BJ31" s="3">
        <f t="shared" si="133"/>
        <v>0</v>
      </c>
      <c r="BK31" s="3">
        <f t="shared" si="133"/>
        <v>0</v>
      </c>
      <c r="BL31" s="3">
        <f t="shared" si="133"/>
        <v>0</v>
      </c>
      <c r="BM31" s="3">
        <f t="shared" si="133"/>
        <v>0</v>
      </c>
      <c r="BN31" s="3">
        <f t="shared" si="133"/>
        <v>0</v>
      </c>
      <c r="BO31" s="3">
        <f t="shared" si="133"/>
        <v>0</v>
      </c>
      <c r="BP31" s="3">
        <f t="shared" si="133"/>
        <v>0</v>
      </c>
      <c r="BQ31" s="3">
        <f t="shared" si="133"/>
        <v>0</v>
      </c>
      <c r="BR31" s="3">
        <f t="shared" si="133"/>
        <v>0</v>
      </c>
      <c r="BS31" s="3">
        <f t="shared" si="133"/>
        <v>0</v>
      </c>
      <c r="BT31" s="2"/>
    </row>
    <row r="32" spans="1:72" ht="15.75" customHeight="1">
      <c r="A32" s="54" t="str">
        <f>IF('Capital purchases'!C36="","",'Capital purchases'!C36)</f>
        <v/>
      </c>
      <c r="B32" s="2"/>
      <c r="C32" s="2" t="str">
        <f>IF($A32="","",'Capital purchases'!B36)</f>
        <v/>
      </c>
      <c r="D32" s="3" t="str">
        <f>IF($A32="","",'Capital purchases'!J36)</f>
        <v/>
      </c>
      <c r="E32" s="161" t="str">
        <f>IF($A32="","",'Capital purchases'!I36)</f>
        <v/>
      </c>
      <c r="H32" s="3">
        <f t="shared" ref="H32:S32" si="134">IF(AND(H$5&gt;=$C32,H$5&lt;=$D32),$E32,0)</f>
        <v>0</v>
      </c>
      <c r="I32" s="3">
        <f t="shared" si="134"/>
        <v>0</v>
      </c>
      <c r="J32" s="3">
        <f t="shared" si="134"/>
        <v>0</v>
      </c>
      <c r="K32" s="3">
        <f t="shared" si="134"/>
        <v>0</v>
      </c>
      <c r="L32" s="3">
        <f t="shared" si="134"/>
        <v>0</v>
      </c>
      <c r="M32" s="3">
        <f t="shared" si="134"/>
        <v>0</v>
      </c>
      <c r="N32" s="3">
        <f t="shared" si="134"/>
        <v>0</v>
      </c>
      <c r="O32" s="3">
        <f t="shared" si="134"/>
        <v>0</v>
      </c>
      <c r="P32" s="3">
        <f t="shared" si="134"/>
        <v>0</v>
      </c>
      <c r="Q32" s="3">
        <f t="shared" si="134"/>
        <v>0</v>
      </c>
      <c r="R32" s="3">
        <f t="shared" si="134"/>
        <v>0</v>
      </c>
      <c r="S32" s="3">
        <f t="shared" si="134"/>
        <v>0</v>
      </c>
      <c r="U32" s="3">
        <f t="shared" ref="U32:AF32" si="135">IF(AND(U$5&gt;=$C32,U$5&lt;=$D32),$E32,0)</f>
        <v>0</v>
      </c>
      <c r="V32" s="3">
        <f t="shared" si="135"/>
        <v>0</v>
      </c>
      <c r="W32" s="3">
        <f t="shared" si="135"/>
        <v>0</v>
      </c>
      <c r="X32" s="3">
        <f t="shared" si="135"/>
        <v>0</v>
      </c>
      <c r="Y32" s="3">
        <f t="shared" si="135"/>
        <v>0</v>
      </c>
      <c r="Z32" s="3">
        <f t="shared" si="135"/>
        <v>0</v>
      </c>
      <c r="AA32" s="3">
        <f t="shared" si="135"/>
        <v>0</v>
      </c>
      <c r="AB32" s="3">
        <f t="shared" si="135"/>
        <v>0</v>
      </c>
      <c r="AC32" s="3">
        <f t="shared" si="135"/>
        <v>0</v>
      </c>
      <c r="AD32" s="3">
        <f t="shared" si="135"/>
        <v>0</v>
      </c>
      <c r="AE32" s="3">
        <f t="shared" si="135"/>
        <v>0</v>
      </c>
      <c r="AF32" s="3">
        <f t="shared" si="135"/>
        <v>0</v>
      </c>
      <c r="AH32" s="3">
        <f t="shared" ref="AH32:AS32" si="136">IF(AND(AH$5&gt;=$C32,AH$5&lt;=$D32),$E32,0)</f>
        <v>0</v>
      </c>
      <c r="AI32" s="3">
        <f t="shared" si="136"/>
        <v>0</v>
      </c>
      <c r="AJ32" s="3">
        <f t="shared" si="136"/>
        <v>0</v>
      </c>
      <c r="AK32" s="3">
        <f t="shared" si="136"/>
        <v>0</v>
      </c>
      <c r="AL32" s="3">
        <f t="shared" si="136"/>
        <v>0</v>
      </c>
      <c r="AM32" s="3">
        <f t="shared" si="136"/>
        <v>0</v>
      </c>
      <c r="AN32" s="3">
        <f t="shared" si="136"/>
        <v>0</v>
      </c>
      <c r="AO32" s="3">
        <f t="shared" si="136"/>
        <v>0</v>
      </c>
      <c r="AP32" s="3">
        <f t="shared" si="136"/>
        <v>0</v>
      </c>
      <c r="AQ32" s="3">
        <f t="shared" si="136"/>
        <v>0</v>
      </c>
      <c r="AR32" s="3">
        <f t="shared" si="136"/>
        <v>0</v>
      </c>
      <c r="AS32" s="3">
        <f t="shared" si="136"/>
        <v>0</v>
      </c>
      <c r="AU32" s="3">
        <f t="shared" ref="AU32:BF32" si="137">IF(AND(AU$5&gt;=$C32,AU$5&lt;=$D32),$E32,0)</f>
        <v>0</v>
      </c>
      <c r="AV32" s="3">
        <f t="shared" si="137"/>
        <v>0</v>
      </c>
      <c r="AW32" s="3">
        <f t="shared" si="137"/>
        <v>0</v>
      </c>
      <c r="AX32" s="3">
        <f t="shared" si="137"/>
        <v>0</v>
      </c>
      <c r="AY32" s="3">
        <f t="shared" si="137"/>
        <v>0</v>
      </c>
      <c r="AZ32" s="3">
        <f t="shared" si="137"/>
        <v>0</v>
      </c>
      <c r="BA32" s="3">
        <f t="shared" si="137"/>
        <v>0</v>
      </c>
      <c r="BB32" s="3">
        <f t="shared" si="137"/>
        <v>0</v>
      </c>
      <c r="BC32" s="3">
        <f t="shared" si="137"/>
        <v>0</v>
      </c>
      <c r="BD32" s="3">
        <f t="shared" si="137"/>
        <v>0</v>
      </c>
      <c r="BE32" s="3">
        <f t="shared" si="137"/>
        <v>0</v>
      </c>
      <c r="BF32" s="3">
        <f t="shared" si="137"/>
        <v>0</v>
      </c>
      <c r="BG32" s="2"/>
      <c r="BH32" s="3">
        <f t="shared" ref="BH32:BS32" si="138">IF(AND(BH$5&gt;=$C32,BH$5&lt;=$D32),$E32,0)</f>
        <v>0</v>
      </c>
      <c r="BI32" s="3">
        <f t="shared" si="138"/>
        <v>0</v>
      </c>
      <c r="BJ32" s="3">
        <f t="shared" si="138"/>
        <v>0</v>
      </c>
      <c r="BK32" s="3">
        <f t="shared" si="138"/>
        <v>0</v>
      </c>
      <c r="BL32" s="3">
        <f t="shared" si="138"/>
        <v>0</v>
      </c>
      <c r="BM32" s="3">
        <f t="shared" si="138"/>
        <v>0</v>
      </c>
      <c r="BN32" s="3">
        <f t="shared" si="138"/>
        <v>0</v>
      </c>
      <c r="BO32" s="3">
        <f t="shared" si="138"/>
        <v>0</v>
      </c>
      <c r="BP32" s="3">
        <f t="shared" si="138"/>
        <v>0</v>
      </c>
      <c r="BQ32" s="3">
        <f t="shared" si="138"/>
        <v>0</v>
      </c>
      <c r="BR32" s="3">
        <f t="shared" si="138"/>
        <v>0</v>
      </c>
      <c r="BS32" s="3">
        <f t="shared" si="138"/>
        <v>0</v>
      </c>
      <c r="BT32" s="2"/>
    </row>
    <row r="33" spans="1:72" ht="15.75" customHeight="1">
      <c r="A33" s="54" t="str">
        <f>IF('Capital purchases'!C37="","",'Capital purchases'!C37)</f>
        <v/>
      </c>
      <c r="B33" s="2"/>
      <c r="C33" s="2" t="str">
        <f>IF($A33="","",'Capital purchases'!B37)</f>
        <v/>
      </c>
      <c r="D33" s="3" t="str">
        <f>IF($A33="","",'Capital purchases'!J37)</f>
        <v/>
      </c>
      <c r="E33" s="161" t="str">
        <f>IF($A33="","",'Capital purchases'!I37)</f>
        <v/>
      </c>
      <c r="H33" s="3">
        <f t="shared" ref="H33:S33" si="139">IF(AND(H$5&gt;=$C33,H$5&lt;=$D33),$E33,0)</f>
        <v>0</v>
      </c>
      <c r="I33" s="3">
        <f t="shared" si="139"/>
        <v>0</v>
      </c>
      <c r="J33" s="3">
        <f t="shared" si="139"/>
        <v>0</v>
      </c>
      <c r="K33" s="3">
        <f t="shared" si="139"/>
        <v>0</v>
      </c>
      <c r="L33" s="3">
        <f t="shared" si="139"/>
        <v>0</v>
      </c>
      <c r="M33" s="3">
        <f t="shared" si="139"/>
        <v>0</v>
      </c>
      <c r="N33" s="3">
        <f t="shared" si="139"/>
        <v>0</v>
      </c>
      <c r="O33" s="3">
        <f t="shared" si="139"/>
        <v>0</v>
      </c>
      <c r="P33" s="3">
        <f t="shared" si="139"/>
        <v>0</v>
      </c>
      <c r="Q33" s="3">
        <f t="shared" si="139"/>
        <v>0</v>
      </c>
      <c r="R33" s="3">
        <f t="shared" si="139"/>
        <v>0</v>
      </c>
      <c r="S33" s="3">
        <f t="shared" si="139"/>
        <v>0</v>
      </c>
      <c r="U33" s="3">
        <f t="shared" ref="U33:AF33" si="140">IF(AND(U$5&gt;=$C33,U$5&lt;=$D33),$E33,0)</f>
        <v>0</v>
      </c>
      <c r="V33" s="3">
        <f t="shared" si="140"/>
        <v>0</v>
      </c>
      <c r="W33" s="3">
        <f t="shared" si="140"/>
        <v>0</v>
      </c>
      <c r="X33" s="3">
        <f t="shared" si="140"/>
        <v>0</v>
      </c>
      <c r="Y33" s="3">
        <f t="shared" si="140"/>
        <v>0</v>
      </c>
      <c r="Z33" s="3">
        <f t="shared" si="140"/>
        <v>0</v>
      </c>
      <c r="AA33" s="3">
        <f t="shared" si="140"/>
        <v>0</v>
      </c>
      <c r="AB33" s="3">
        <f t="shared" si="140"/>
        <v>0</v>
      </c>
      <c r="AC33" s="3">
        <f t="shared" si="140"/>
        <v>0</v>
      </c>
      <c r="AD33" s="3">
        <f t="shared" si="140"/>
        <v>0</v>
      </c>
      <c r="AE33" s="3">
        <f t="shared" si="140"/>
        <v>0</v>
      </c>
      <c r="AF33" s="3">
        <f t="shared" si="140"/>
        <v>0</v>
      </c>
      <c r="AH33" s="3">
        <f t="shared" ref="AH33:AS33" si="141">IF(AND(AH$5&gt;=$C33,AH$5&lt;=$D33),$E33,0)</f>
        <v>0</v>
      </c>
      <c r="AI33" s="3">
        <f t="shared" si="141"/>
        <v>0</v>
      </c>
      <c r="AJ33" s="3">
        <f t="shared" si="141"/>
        <v>0</v>
      </c>
      <c r="AK33" s="3">
        <f t="shared" si="141"/>
        <v>0</v>
      </c>
      <c r="AL33" s="3">
        <f t="shared" si="141"/>
        <v>0</v>
      </c>
      <c r="AM33" s="3">
        <f t="shared" si="141"/>
        <v>0</v>
      </c>
      <c r="AN33" s="3">
        <f t="shared" si="141"/>
        <v>0</v>
      </c>
      <c r="AO33" s="3">
        <f t="shared" si="141"/>
        <v>0</v>
      </c>
      <c r="AP33" s="3">
        <f t="shared" si="141"/>
        <v>0</v>
      </c>
      <c r="AQ33" s="3">
        <f t="shared" si="141"/>
        <v>0</v>
      </c>
      <c r="AR33" s="3">
        <f t="shared" si="141"/>
        <v>0</v>
      </c>
      <c r="AS33" s="3">
        <f t="shared" si="141"/>
        <v>0</v>
      </c>
      <c r="AU33" s="3">
        <f t="shared" ref="AU33:BF33" si="142">IF(AND(AU$5&gt;=$C33,AU$5&lt;=$D33),$E33,0)</f>
        <v>0</v>
      </c>
      <c r="AV33" s="3">
        <f t="shared" si="142"/>
        <v>0</v>
      </c>
      <c r="AW33" s="3">
        <f t="shared" si="142"/>
        <v>0</v>
      </c>
      <c r="AX33" s="3">
        <f t="shared" si="142"/>
        <v>0</v>
      </c>
      <c r="AY33" s="3">
        <f t="shared" si="142"/>
        <v>0</v>
      </c>
      <c r="AZ33" s="3">
        <f t="shared" si="142"/>
        <v>0</v>
      </c>
      <c r="BA33" s="3">
        <f t="shared" si="142"/>
        <v>0</v>
      </c>
      <c r="BB33" s="3">
        <f t="shared" si="142"/>
        <v>0</v>
      </c>
      <c r="BC33" s="3">
        <f t="shared" si="142"/>
        <v>0</v>
      </c>
      <c r="BD33" s="3">
        <f t="shared" si="142"/>
        <v>0</v>
      </c>
      <c r="BE33" s="3">
        <f t="shared" si="142"/>
        <v>0</v>
      </c>
      <c r="BF33" s="3">
        <f t="shared" si="142"/>
        <v>0</v>
      </c>
      <c r="BG33" s="2"/>
      <c r="BH33" s="3">
        <f t="shared" ref="BH33:BS33" si="143">IF(AND(BH$5&gt;=$C33,BH$5&lt;=$D33),$E33,0)</f>
        <v>0</v>
      </c>
      <c r="BI33" s="3">
        <f t="shared" si="143"/>
        <v>0</v>
      </c>
      <c r="BJ33" s="3">
        <f t="shared" si="143"/>
        <v>0</v>
      </c>
      <c r="BK33" s="3">
        <f t="shared" si="143"/>
        <v>0</v>
      </c>
      <c r="BL33" s="3">
        <f t="shared" si="143"/>
        <v>0</v>
      </c>
      <c r="BM33" s="3">
        <f t="shared" si="143"/>
        <v>0</v>
      </c>
      <c r="BN33" s="3">
        <f t="shared" si="143"/>
        <v>0</v>
      </c>
      <c r="BO33" s="3">
        <f t="shared" si="143"/>
        <v>0</v>
      </c>
      <c r="BP33" s="3">
        <f t="shared" si="143"/>
        <v>0</v>
      </c>
      <c r="BQ33" s="3">
        <f t="shared" si="143"/>
        <v>0</v>
      </c>
      <c r="BR33" s="3">
        <f t="shared" si="143"/>
        <v>0</v>
      </c>
      <c r="BS33" s="3">
        <f t="shared" si="143"/>
        <v>0</v>
      </c>
      <c r="BT33" s="2"/>
    </row>
    <row r="34" spans="1:72" ht="15.75" customHeight="1">
      <c r="A34" s="54" t="str">
        <f>IF('Capital purchases'!C38="","",'Capital purchases'!C38)</f>
        <v/>
      </c>
      <c r="B34" s="2"/>
      <c r="C34" s="2" t="str">
        <f>IF($A34="","",'Capital purchases'!B38)</f>
        <v/>
      </c>
      <c r="D34" s="3" t="str">
        <f>IF($A34="","",'Capital purchases'!J38)</f>
        <v/>
      </c>
      <c r="E34" s="161" t="str">
        <f>IF($A34="","",'Capital purchases'!I38)</f>
        <v/>
      </c>
      <c r="H34" s="3">
        <f t="shared" ref="H34:S34" si="144">IF(AND(H$5&gt;=$C34,H$5&lt;=$D34),$E34,0)</f>
        <v>0</v>
      </c>
      <c r="I34" s="3">
        <f t="shared" si="144"/>
        <v>0</v>
      </c>
      <c r="J34" s="3">
        <f t="shared" si="144"/>
        <v>0</v>
      </c>
      <c r="K34" s="3">
        <f t="shared" si="144"/>
        <v>0</v>
      </c>
      <c r="L34" s="3">
        <f t="shared" si="144"/>
        <v>0</v>
      </c>
      <c r="M34" s="3">
        <f t="shared" si="144"/>
        <v>0</v>
      </c>
      <c r="N34" s="3">
        <f t="shared" si="144"/>
        <v>0</v>
      </c>
      <c r="O34" s="3">
        <f t="shared" si="144"/>
        <v>0</v>
      </c>
      <c r="P34" s="3">
        <f t="shared" si="144"/>
        <v>0</v>
      </c>
      <c r="Q34" s="3">
        <f t="shared" si="144"/>
        <v>0</v>
      </c>
      <c r="R34" s="3">
        <f t="shared" si="144"/>
        <v>0</v>
      </c>
      <c r="S34" s="3">
        <f t="shared" si="144"/>
        <v>0</v>
      </c>
      <c r="U34" s="3">
        <f t="shared" ref="U34:AF34" si="145">IF(AND(U$5&gt;=$C34,U$5&lt;=$D34),$E34,0)</f>
        <v>0</v>
      </c>
      <c r="V34" s="3">
        <f t="shared" si="145"/>
        <v>0</v>
      </c>
      <c r="W34" s="3">
        <f t="shared" si="145"/>
        <v>0</v>
      </c>
      <c r="X34" s="3">
        <f t="shared" si="145"/>
        <v>0</v>
      </c>
      <c r="Y34" s="3">
        <f t="shared" si="145"/>
        <v>0</v>
      </c>
      <c r="Z34" s="3">
        <f t="shared" si="145"/>
        <v>0</v>
      </c>
      <c r="AA34" s="3">
        <f t="shared" si="145"/>
        <v>0</v>
      </c>
      <c r="AB34" s="3">
        <f t="shared" si="145"/>
        <v>0</v>
      </c>
      <c r="AC34" s="3">
        <f t="shared" si="145"/>
        <v>0</v>
      </c>
      <c r="AD34" s="3">
        <f t="shared" si="145"/>
        <v>0</v>
      </c>
      <c r="AE34" s="3">
        <f t="shared" si="145"/>
        <v>0</v>
      </c>
      <c r="AF34" s="3">
        <f t="shared" si="145"/>
        <v>0</v>
      </c>
      <c r="AH34" s="3">
        <f t="shared" ref="AH34:AS34" si="146">IF(AND(AH$5&gt;=$C34,AH$5&lt;=$D34),$E34,0)</f>
        <v>0</v>
      </c>
      <c r="AI34" s="3">
        <f t="shared" si="146"/>
        <v>0</v>
      </c>
      <c r="AJ34" s="3">
        <f t="shared" si="146"/>
        <v>0</v>
      </c>
      <c r="AK34" s="3">
        <f t="shared" si="146"/>
        <v>0</v>
      </c>
      <c r="AL34" s="3">
        <f t="shared" si="146"/>
        <v>0</v>
      </c>
      <c r="AM34" s="3">
        <f t="shared" si="146"/>
        <v>0</v>
      </c>
      <c r="AN34" s="3">
        <f t="shared" si="146"/>
        <v>0</v>
      </c>
      <c r="AO34" s="3">
        <f t="shared" si="146"/>
        <v>0</v>
      </c>
      <c r="AP34" s="3">
        <f t="shared" si="146"/>
        <v>0</v>
      </c>
      <c r="AQ34" s="3">
        <f t="shared" si="146"/>
        <v>0</v>
      </c>
      <c r="AR34" s="3">
        <f t="shared" si="146"/>
        <v>0</v>
      </c>
      <c r="AS34" s="3">
        <f t="shared" si="146"/>
        <v>0</v>
      </c>
      <c r="AU34" s="3">
        <f t="shared" ref="AU34:BF34" si="147">IF(AND(AU$5&gt;=$C34,AU$5&lt;=$D34),$E34,0)</f>
        <v>0</v>
      </c>
      <c r="AV34" s="3">
        <f t="shared" si="147"/>
        <v>0</v>
      </c>
      <c r="AW34" s="3">
        <f t="shared" si="147"/>
        <v>0</v>
      </c>
      <c r="AX34" s="3">
        <f t="shared" si="147"/>
        <v>0</v>
      </c>
      <c r="AY34" s="3">
        <f t="shared" si="147"/>
        <v>0</v>
      </c>
      <c r="AZ34" s="3">
        <f t="shared" si="147"/>
        <v>0</v>
      </c>
      <c r="BA34" s="3">
        <f t="shared" si="147"/>
        <v>0</v>
      </c>
      <c r="BB34" s="3">
        <f t="shared" si="147"/>
        <v>0</v>
      </c>
      <c r="BC34" s="3">
        <f t="shared" si="147"/>
        <v>0</v>
      </c>
      <c r="BD34" s="3">
        <f t="shared" si="147"/>
        <v>0</v>
      </c>
      <c r="BE34" s="3">
        <f t="shared" si="147"/>
        <v>0</v>
      </c>
      <c r="BF34" s="3">
        <f t="shared" si="147"/>
        <v>0</v>
      </c>
      <c r="BG34" s="2"/>
      <c r="BH34" s="3">
        <f t="shared" ref="BH34:BS34" si="148">IF(AND(BH$5&gt;=$C34,BH$5&lt;=$D34),$E34,0)</f>
        <v>0</v>
      </c>
      <c r="BI34" s="3">
        <f t="shared" si="148"/>
        <v>0</v>
      </c>
      <c r="BJ34" s="3">
        <f t="shared" si="148"/>
        <v>0</v>
      </c>
      <c r="BK34" s="3">
        <f t="shared" si="148"/>
        <v>0</v>
      </c>
      <c r="BL34" s="3">
        <f t="shared" si="148"/>
        <v>0</v>
      </c>
      <c r="BM34" s="3">
        <f t="shared" si="148"/>
        <v>0</v>
      </c>
      <c r="BN34" s="3">
        <f t="shared" si="148"/>
        <v>0</v>
      </c>
      <c r="BO34" s="3">
        <f t="shared" si="148"/>
        <v>0</v>
      </c>
      <c r="BP34" s="3">
        <f t="shared" si="148"/>
        <v>0</v>
      </c>
      <c r="BQ34" s="3">
        <f t="shared" si="148"/>
        <v>0</v>
      </c>
      <c r="BR34" s="3">
        <f t="shared" si="148"/>
        <v>0</v>
      </c>
      <c r="BS34" s="3">
        <f t="shared" si="148"/>
        <v>0</v>
      </c>
      <c r="BT34" s="2"/>
    </row>
    <row r="35" spans="1:72" ht="15.75" customHeight="1">
      <c r="A35" s="54" t="str">
        <f>IF('Capital purchases'!C39="","",'Capital purchases'!C39)</f>
        <v/>
      </c>
      <c r="B35" s="2"/>
      <c r="C35" s="2" t="str">
        <f>IF($A35="","",'Capital purchases'!B39)</f>
        <v/>
      </c>
      <c r="D35" s="3" t="str">
        <f>IF($A35="","",'Capital purchases'!J39)</f>
        <v/>
      </c>
      <c r="E35" s="161" t="str">
        <f>IF($A35="","",'Capital purchases'!I39)</f>
        <v/>
      </c>
      <c r="H35" s="3">
        <f t="shared" ref="H35:S35" si="149">IF(AND(H$5&gt;=$C35,H$5&lt;=$D35),$E35,0)</f>
        <v>0</v>
      </c>
      <c r="I35" s="3">
        <f t="shared" si="149"/>
        <v>0</v>
      </c>
      <c r="J35" s="3">
        <f t="shared" si="149"/>
        <v>0</v>
      </c>
      <c r="K35" s="3">
        <f t="shared" si="149"/>
        <v>0</v>
      </c>
      <c r="L35" s="3">
        <f t="shared" si="149"/>
        <v>0</v>
      </c>
      <c r="M35" s="3">
        <f t="shared" si="149"/>
        <v>0</v>
      </c>
      <c r="N35" s="3">
        <f t="shared" si="149"/>
        <v>0</v>
      </c>
      <c r="O35" s="3">
        <f t="shared" si="149"/>
        <v>0</v>
      </c>
      <c r="P35" s="3">
        <f t="shared" si="149"/>
        <v>0</v>
      </c>
      <c r="Q35" s="3">
        <f t="shared" si="149"/>
        <v>0</v>
      </c>
      <c r="R35" s="3">
        <f t="shared" si="149"/>
        <v>0</v>
      </c>
      <c r="S35" s="3">
        <f t="shared" si="149"/>
        <v>0</v>
      </c>
      <c r="U35" s="3">
        <f t="shared" ref="U35:AF35" si="150">IF(AND(U$5&gt;=$C35,U$5&lt;=$D35),$E35,0)</f>
        <v>0</v>
      </c>
      <c r="V35" s="3">
        <f t="shared" si="150"/>
        <v>0</v>
      </c>
      <c r="W35" s="3">
        <f t="shared" si="150"/>
        <v>0</v>
      </c>
      <c r="X35" s="3">
        <f t="shared" si="150"/>
        <v>0</v>
      </c>
      <c r="Y35" s="3">
        <f t="shared" si="150"/>
        <v>0</v>
      </c>
      <c r="Z35" s="3">
        <f t="shared" si="150"/>
        <v>0</v>
      </c>
      <c r="AA35" s="3">
        <f t="shared" si="150"/>
        <v>0</v>
      </c>
      <c r="AB35" s="3">
        <f t="shared" si="150"/>
        <v>0</v>
      </c>
      <c r="AC35" s="3">
        <f t="shared" si="150"/>
        <v>0</v>
      </c>
      <c r="AD35" s="3">
        <f t="shared" si="150"/>
        <v>0</v>
      </c>
      <c r="AE35" s="3">
        <f t="shared" si="150"/>
        <v>0</v>
      </c>
      <c r="AF35" s="3">
        <f t="shared" si="150"/>
        <v>0</v>
      </c>
      <c r="AH35" s="3">
        <f t="shared" ref="AH35:AS35" si="151">IF(AND(AH$5&gt;=$C35,AH$5&lt;=$D35),$E35,0)</f>
        <v>0</v>
      </c>
      <c r="AI35" s="3">
        <f t="shared" si="151"/>
        <v>0</v>
      </c>
      <c r="AJ35" s="3">
        <f t="shared" si="151"/>
        <v>0</v>
      </c>
      <c r="AK35" s="3">
        <f t="shared" si="151"/>
        <v>0</v>
      </c>
      <c r="AL35" s="3">
        <f t="shared" si="151"/>
        <v>0</v>
      </c>
      <c r="AM35" s="3">
        <f t="shared" si="151"/>
        <v>0</v>
      </c>
      <c r="AN35" s="3">
        <f t="shared" si="151"/>
        <v>0</v>
      </c>
      <c r="AO35" s="3">
        <f t="shared" si="151"/>
        <v>0</v>
      </c>
      <c r="AP35" s="3">
        <f t="shared" si="151"/>
        <v>0</v>
      </c>
      <c r="AQ35" s="3">
        <f t="shared" si="151"/>
        <v>0</v>
      </c>
      <c r="AR35" s="3">
        <f t="shared" si="151"/>
        <v>0</v>
      </c>
      <c r="AS35" s="3">
        <f t="shared" si="151"/>
        <v>0</v>
      </c>
      <c r="AU35" s="3">
        <f t="shared" ref="AU35:BF35" si="152">IF(AND(AU$5&gt;=$C35,AU$5&lt;=$D35),$E35,0)</f>
        <v>0</v>
      </c>
      <c r="AV35" s="3">
        <f t="shared" si="152"/>
        <v>0</v>
      </c>
      <c r="AW35" s="3">
        <f t="shared" si="152"/>
        <v>0</v>
      </c>
      <c r="AX35" s="3">
        <f t="shared" si="152"/>
        <v>0</v>
      </c>
      <c r="AY35" s="3">
        <f t="shared" si="152"/>
        <v>0</v>
      </c>
      <c r="AZ35" s="3">
        <f t="shared" si="152"/>
        <v>0</v>
      </c>
      <c r="BA35" s="3">
        <f t="shared" si="152"/>
        <v>0</v>
      </c>
      <c r="BB35" s="3">
        <f t="shared" si="152"/>
        <v>0</v>
      </c>
      <c r="BC35" s="3">
        <f t="shared" si="152"/>
        <v>0</v>
      </c>
      <c r="BD35" s="3">
        <f t="shared" si="152"/>
        <v>0</v>
      </c>
      <c r="BE35" s="3">
        <f t="shared" si="152"/>
        <v>0</v>
      </c>
      <c r="BF35" s="3">
        <f t="shared" si="152"/>
        <v>0</v>
      </c>
      <c r="BG35" s="2"/>
      <c r="BH35" s="3">
        <f t="shared" ref="BH35:BS35" si="153">IF(AND(BH$5&gt;=$C35,BH$5&lt;=$D35),$E35,0)</f>
        <v>0</v>
      </c>
      <c r="BI35" s="3">
        <f t="shared" si="153"/>
        <v>0</v>
      </c>
      <c r="BJ35" s="3">
        <f t="shared" si="153"/>
        <v>0</v>
      </c>
      <c r="BK35" s="3">
        <f t="shared" si="153"/>
        <v>0</v>
      </c>
      <c r="BL35" s="3">
        <f t="shared" si="153"/>
        <v>0</v>
      </c>
      <c r="BM35" s="3">
        <f t="shared" si="153"/>
        <v>0</v>
      </c>
      <c r="BN35" s="3">
        <f t="shared" si="153"/>
        <v>0</v>
      </c>
      <c r="BO35" s="3">
        <f t="shared" si="153"/>
        <v>0</v>
      </c>
      <c r="BP35" s="3">
        <f t="shared" si="153"/>
        <v>0</v>
      </c>
      <c r="BQ35" s="3">
        <f t="shared" si="153"/>
        <v>0</v>
      </c>
      <c r="BR35" s="3">
        <f t="shared" si="153"/>
        <v>0</v>
      </c>
      <c r="BS35" s="3">
        <f t="shared" si="153"/>
        <v>0</v>
      </c>
      <c r="BT35" s="2"/>
    </row>
    <row r="36" spans="1:72" ht="15.75" customHeight="1">
      <c r="A36" s="54" t="str">
        <f>IF('Capital purchases'!C40="","",'Capital purchases'!C40)</f>
        <v/>
      </c>
      <c r="B36" s="2"/>
      <c r="C36" s="2" t="str">
        <f>IF($A36="","",'Capital purchases'!B40)</f>
        <v/>
      </c>
      <c r="D36" s="3" t="str">
        <f>IF($A36="","",'Capital purchases'!J40)</f>
        <v/>
      </c>
      <c r="E36" s="161" t="str">
        <f>IF($A36="","",'Capital purchases'!I40)</f>
        <v/>
      </c>
      <c r="H36" s="3">
        <f t="shared" ref="H36:S36" si="154">IF(AND(H$5&gt;=$C36,H$5&lt;=$D36),$E36,0)</f>
        <v>0</v>
      </c>
      <c r="I36" s="3">
        <f t="shared" si="154"/>
        <v>0</v>
      </c>
      <c r="J36" s="3">
        <f t="shared" si="154"/>
        <v>0</v>
      </c>
      <c r="K36" s="3">
        <f t="shared" si="154"/>
        <v>0</v>
      </c>
      <c r="L36" s="3">
        <f t="shared" si="154"/>
        <v>0</v>
      </c>
      <c r="M36" s="3">
        <f t="shared" si="154"/>
        <v>0</v>
      </c>
      <c r="N36" s="3">
        <f t="shared" si="154"/>
        <v>0</v>
      </c>
      <c r="O36" s="3">
        <f t="shared" si="154"/>
        <v>0</v>
      </c>
      <c r="P36" s="3">
        <f t="shared" si="154"/>
        <v>0</v>
      </c>
      <c r="Q36" s="3">
        <f t="shared" si="154"/>
        <v>0</v>
      </c>
      <c r="R36" s="3">
        <f t="shared" si="154"/>
        <v>0</v>
      </c>
      <c r="S36" s="3">
        <f t="shared" si="154"/>
        <v>0</v>
      </c>
      <c r="U36" s="3">
        <f t="shared" ref="U36:AF36" si="155">IF(AND(U$5&gt;=$C36,U$5&lt;=$D36),$E36,0)</f>
        <v>0</v>
      </c>
      <c r="V36" s="3">
        <f t="shared" si="155"/>
        <v>0</v>
      </c>
      <c r="W36" s="3">
        <f t="shared" si="155"/>
        <v>0</v>
      </c>
      <c r="X36" s="3">
        <f t="shared" si="155"/>
        <v>0</v>
      </c>
      <c r="Y36" s="3">
        <f t="shared" si="155"/>
        <v>0</v>
      </c>
      <c r="Z36" s="3">
        <f t="shared" si="155"/>
        <v>0</v>
      </c>
      <c r="AA36" s="3">
        <f t="shared" si="155"/>
        <v>0</v>
      </c>
      <c r="AB36" s="3">
        <f t="shared" si="155"/>
        <v>0</v>
      </c>
      <c r="AC36" s="3">
        <f t="shared" si="155"/>
        <v>0</v>
      </c>
      <c r="AD36" s="3">
        <f t="shared" si="155"/>
        <v>0</v>
      </c>
      <c r="AE36" s="3">
        <f t="shared" si="155"/>
        <v>0</v>
      </c>
      <c r="AF36" s="3">
        <f t="shared" si="155"/>
        <v>0</v>
      </c>
      <c r="AH36" s="3">
        <f t="shared" ref="AH36:AS36" si="156">IF(AND(AH$5&gt;=$C36,AH$5&lt;=$D36),$E36,0)</f>
        <v>0</v>
      </c>
      <c r="AI36" s="3">
        <f t="shared" si="156"/>
        <v>0</v>
      </c>
      <c r="AJ36" s="3">
        <f t="shared" si="156"/>
        <v>0</v>
      </c>
      <c r="AK36" s="3">
        <f t="shared" si="156"/>
        <v>0</v>
      </c>
      <c r="AL36" s="3">
        <f t="shared" si="156"/>
        <v>0</v>
      </c>
      <c r="AM36" s="3">
        <f t="shared" si="156"/>
        <v>0</v>
      </c>
      <c r="AN36" s="3">
        <f t="shared" si="156"/>
        <v>0</v>
      </c>
      <c r="AO36" s="3">
        <f t="shared" si="156"/>
        <v>0</v>
      </c>
      <c r="AP36" s="3">
        <f t="shared" si="156"/>
        <v>0</v>
      </c>
      <c r="AQ36" s="3">
        <f t="shared" si="156"/>
        <v>0</v>
      </c>
      <c r="AR36" s="3">
        <f t="shared" si="156"/>
        <v>0</v>
      </c>
      <c r="AS36" s="3">
        <f t="shared" si="156"/>
        <v>0</v>
      </c>
      <c r="AU36" s="3">
        <f t="shared" ref="AU36:BF36" si="157">IF(AND(AU$5&gt;=$C36,AU$5&lt;=$D36),$E36,0)</f>
        <v>0</v>
      </c>
      <c r="AV36" s="3">
        <f t="shared" si="157"/>
        <v>0</v>
      </c>
      <c r="AW36" s="3">
        <f t="shared" si="157"/>
        <v>0</v>
      </c>
      <c r="AX36" s="3">
        <f t="shared" si="157"/>
        <v>0</v>
      </c>
      <c r="AY36" s="3">
        <f t="shared" si="157"/>
        <v>0</v>
      </c>
      <c r="AZ36" s="3">
        <f t="shared" si="157"/>
        <v>0</v>
      </c>
      <c r="BA36" s="3">
        <f t="shared" si="157"/>
        <v>0</v>
      </c>
      <c r="BB36" s="3">
        <f t="shared" si="157"/>
        <v>0</v>
      </c>
      <c r="BC36" s="3">
        <f t="shared" si="157"/>
        <v>0</v>
      </c>
      <c r="BD36" s="3">
        <f t="shared" si="157"/>
        <v>0</v>
      </c>
      <c r="BE36" s="3">
        <f t="shared" si="157"/>
        <v>0</v>
      </c>
      <c r="BF36" s="3">
        <f t="shared" si="157"/>
        <v>0</v>
      </c>
      <c r="BG36" s="2"/>
      <c r="BH36" s="3">
        <f t="shared" ref="BH36:BS36" si="158">IF(AND(BH$5&gt;=$C36,BH$5&lt;=$D36),$E36,0)</f>
        <v>0</v>
      </c>
      <c r="BI36" s="3">
        <f t="shared" si="158"/>
        <v>0</v>
      </c>
      <c r="BJ36" s="3">
        <f t="shared" si="158"/>
        <v>0</v>
      </c>
      <c r="BK36" s="3">
        <f t="shared" si="158"/>
        <v>0</v>
      </c>
      <c r="BL36" s="3">
        <f t="shared" si="158"/>
        <v>0</v>
      </c>
      <c r="BM36" s="3">
        <f t="shared" si="158"/>
        <v>0</v>
      </c>
      <c r="BN36" s="3">
        <f t="shared" si="158"/>
        <v>0</v>
      </c>
      <c r="BO36" s="3">
        <f t="shared" si="158"/>
        <v>0</v>
      </c>
      <c r="BP36" s="3">
        <f t="shared" si="158"/>
        <v>0</v>
      </c>
      <c r="BQ36" s="3">
        <f t="shared" si="158"/>
        <v>0</v>
      </c>
      <c r="BR36" s="3">
        <f t="shared" si="158"/>
        <v>0</v>
      </c>
      <c r="BS36" s="3">
        <f t="shared" si="158"/>
        <v>0</v>
      </c>
      <c r="BT36" s="2"/>
    </row>
    <row r="37" spans="1:72" ht="15.75" customHeight="1">
      <c r="A37" s="54" t="str">
        <f>IF('Capital purchases'!C41="","",'Capital purchases'!C41)</f>
        <v/>
      </c>
      <c r="B37" s="2"/>
      <c r="C37" s="2" t="str">
        <f>IF($A37="","",'Capital purchases'!B41)</f>
        <v/>
      </c>
      <c r="D37" s="3" t="str">
        <f>IF($A37="","",'Capital purchases'!J41)</f>
        <v/>
      </c>
      <c r="E37" s="161" t="str">
        <f>IF($A37="","",'Capital purchases'!I41)</f>
        <v/>
      </c>
      <c r="H37" s="3">
        <f t="shared" ref="H37:S37" si="159">IF(AND(H$5&gt;=$C37,H$5&lt;=$D37),$E37,0)</f>
        <v>0</v>
      </c>
      <c r="I37" s="3">
        <f t="shared" si="159"/>
        <v>0</v>
      </c>
      <c r="J37" s="3">
        <f t="shared" si="159"/>
        <v>0</v>
      </c>
      <c r="K37" s="3">
        <f t="shared" si="159"/>
        <v>0</v>
      </c>
      <c r="L37" s="3">
        <f t="shared" si="159"/>
        <v>0</v>
      </c>
      <c r="M37" s="3">
        <f t="shared" si="159"/>
        <v>0</v>
      </c>
      <c r="N37" s="3">
        <f t="shared" si="159"/>
        <v>0</v>
      </c>
      <c r="O37" s="3">
        <f t="shared" si="159"/>
        <v>0</v>
      </c>
      <c r="P37" s="3">
        <f t="shared" si="159"/>
        <v>0</v>
      </c>
      <c r="Q37" s="3">
        <f t="shared" si="159"/>
        <v>0</v>
      </c>
      <c r="R37" s="3">
        <f t="shared" si="159"/>
        <v>0</v>
      </c>
      <c r="S37" s="3">
        <f t="shared" si="159"/>
        <v>0</v>
      </c>
      <c r="U37" s="3">
        <f t="shared" ref="U37:AF37" si="160">IF(AND(U$5&gt;=$C37,U$5&lt;=$D37),$E37,0)</f>
        <v>0</v>
      </c>
      <c r="V37" s="3">
        <f t="shared" si="160"/>
        <v>0</v>
      </c>
      <c r="W37" s="3">
        <f t="shared" si="160"/>
        <v>0</v>
      </c>
      <c r="X37" s="3">
        <f t="shared" si="160"/>
        <v>0</v>
      </c>
      <c r="Y37" s="3">
        <f t="shared" si="160"/>
        <v>0</v>
      </c>
      <c r="Z37" s="3">
        <f t="shared" si="160"/>
        <v>0</v>
      </c>
      <c r="AA37" s="3">
        <f t="shared" si="160"/>
        <v>0</v>
      </c>
      <c r="AB37" s="3">
        <f t="shared" si="160"/>
        <v>0</v>
      </c>
      <c r="AC37" s="3">
        <f t="shared" si="160"/>
        <v>0</v>
      </c>
      <c r="AD37" s="3">
        <f t="shared" si="160"/>
        <v>0</v>
      </c>
      <c r="AE37" s="3">
        <f t="shared" si="160"/>
        <v>0</v>
      </c>
      <c r="AF37" s="3">
        <f t="shared" si="160"/>
        <v>0</v>
      </c>
      <c r="AH37" s="3">
        <f t="shared" ref="AH37:AS37" si="161">IF(AND(AH$5&gt;=$C37,AH$5&lt;=$D37),$E37,0)</f>
        <v>0</v>
      </c>
      <c r="AI37" s="3">
        <f t="shared" si="161"/>
        <v>0</v>
      </c>
      <c r="AJ37" s="3">
        <f t="shared" si="161"/>
        <v>0</v>
      </c>
      <c r="AK37" s="3">
        <f t="shared" si="161"/>
        <v>0</v>
      </c>
      <c r="AL37" s="3">
        <f t="shared" si="161"/>
        <v>0</v>
      </c>
      <c r="AM37" s="3">
        <f t="shared" si="161"/>
        <v>0</v>
      </c>
      <c r="AN37" s="3">
        <f t="shared" si="161"/>
        <v>0</v>
      </c>
      <c r="AO37" s="3">
        <f t="shared" si="161"/>
        <v>0</v>
      </c>
      <c r="AP37" s="3">
        <f t="shared" si="161"/>
        <v>0</v>
      </c>
      <c r="AQ37" s="3">
        <f t="shared" si="161"/>
        <v>0</v>
      </c>
      <c r="AR37" s="3">
        <f t="shared" si="161"/>
        <v>0</v>
      </c>
      <c r="AS37" s="3">
        <f t="shared" si="161"/>
        <v>0</v>
      </c>
      <c r="AU37" s="3">
        <f t="shared" ref="AU37:BF37" si="162">IF(AND(AU$5&gt;=$C37,AU$5&lt;=$D37),$E37,0)</f>
        <v>0</v>
      </c>
      <c r="AV37" s="3">
        <f t="shared" si="162"/>
        <v>0</v>
      </c>
      <c r="AW37" s="3">
        <f t="shared" si="162"/>
        <v>0</v>
      </c>
      <c r="AX37" s="3">
        <f t="shared" si="162"/>
        <v>0</v>
      </c>
      <c r="AY37" s="3">
        <f t="shared" si="162"/>
        <v>0</v>
      </c>
      <c r="AZ37" s="3">
        <f t="shared" si="162"/>
        <v>0</v>
      </c>
      <c r="BA37" s="3">
        <f t="shared" si="162"/>
        <v>0</v>
      </c>
      <c r="BB37" s="3">
        <f t="shared" si="162"/>
        <v>0</v>
      </c>
      <c r="BC37" s="3">
        <f t="shared" si="162"/>
        <v>0</v>
      </c>
      <c r="BD37" s="3">
        <f t="shared" si="162"/>
        <v>0</v>
      </c>
      <c r="BE37" s="3">
        <f t="shared" si="162"/>
        <v>0</v>
      </c>
      <c r="BF37" s="3">
        <f t="shared" si="162"/>
        <v>0</v>
      </c>
      <c r="BG37" s="2"/>
      <c r="BH37" s="3">
        <f t="shared" ref="BH37:BS37" si="163">IF(AND(BH$5&gt;=$C37,BH$5&lt;=$D37),$E37,0)</f>
        <v>0</v>
      </c>
      <c r="BI37" s="3">
        <f t="shared" si="163"/>
        <v>0</v>
      </c>
      <c r="BJ37" s="3">
        <f t="shared" si="163"/>
        <v>0</v>
      </c>
      <c r="BK37" s="3">
        <f t="shared" si="163"/>
        <v>0</v>
      </c>
      <c r="BL37" s="3">
        <f t="shared" si="163"/>
        <v>0</v>
      </c>
      <c r="BM37" s="3">
        <f t="shared" si="163"/>
        <v>0</v>
      </c>
      <c r="BN37" s="3">
        <f t="shared" si="163"/>
        <v>0</v>
      </c>
      <c r="BO37" s="3">
        <f t="shared" si="163"/>
        <v>0</v>
      </c>
      <c r="BP37" s="3">
        <f t="shared" si="163"/>
        <v>0</v>
      </c>
      <c r="BQ37" s="3">
        <f t="shared" si="163"/>
        <v>0</v>
      </c>
      <c r="BR37" s="3">
        <f t="shared" si="163"/>
        <v>0</v>
      </c>
      <c r="BS37" s="3">
        <f t="shared" si="163"/>
        <v>0</v>
      </c>
      <c r="BT37" s="2"/>
    </row>
    <row r="38" spans="1:72" ht="15.75" customHeight="1">
      <c r="A38" s="54" t="str">
        <f>IF('Capital purchases'!C42="","",'Capital purchases'!C42)</f>
        <v/>
      </c>
      <c r="B38" s="2"/>
      <c r="C38" s="2" t="str">
        <f>IF($A38="","",'Capital purchases'!B42)</f>
        <v/>
      </c>
      <c r="D38" s="3" t="str">
        <f>IF($A38="","",'Capital purchases'!J42)</f>
        <v/>
      </c>
      <c r="E38" s="161" t="str">
        <f>IF($A38="","",'Capital purchases'!I42)</f>
        <v/>
      </c>
      <c r="H38" s="3">
        <f t="shared" ref="H38:S38" si="164">IF(AND(H$5&gt;=$C38,H$5&lt;=$D38),$E38,0)</f>
        <v>0</v>
      </c>
      <c r="I38" s="3">
        <f t="shared" si="164"/>
        <v>0</v>
      </c>
      <c r="J38" s="3">
        <f t="shared" si="164"/>
        <v>0</v>
      </c>
      <c r="K38" s="3">
        <f t="shared" si="164"/>
        <v>0</v>
      </c>
      <c r="L38" s="3">
        <f t="shared" si="164"/>
        <v>0</v>
      </c>
      <c r="M38" s="3">
        <f t="shared" si="164"/>
        <v>0</v>
      </c>
      <c r="N38" s="3">
        <f t="shared" si="164"/>
        <v>0</v>
      </c>
      <c r="O38" s="3">
        <f t="shared" si="164"/>
        <v>0</v>
      </c>
      <c r="P38" s="3">
        <f t="shared" si="164"/>
        <v>0</v>
      </c>
      <c r="Q38" s="3">
        <f t="shared" si="164"/>
        <v>0</v>
      </c>
      <c r="R38" s="3">
        <f t="shared" si="164"/>
        <v>0</v>
      </c>
      <c r="S38" s="3">
        <f t="shared" si="164"/>
        <v>0</v>
      </c>
      <c r="U38" s="3">
        <f t="shared" ref="U38:AF38" si="165">IF(AND(U$5&gt;=$C38,U$5&lt;=$D38),$E38,0)</f>
        <v>0</v>
      </c>
      <c r="V38" s="3">
        <f t="shared" si="165"/>
        <v>0</v>
      </c>
      <c r="W38" s="3">
        <f t="shared" si="165"/>
        <v>0</v>
      </c>
      <c r="X38" s="3">
        <f t="shared" si="165"/>
        <v>0</v>
      </c>
      <c r="Y38" s="3">
        <f t="shared" si="165"/>
        <v>0</v>
      </c>
      <c r="Z38" s="3">
        <f t="shared" si="165"/>
        <v>0</v>
      </c>
      <c r="AA38" s="3">
        <f t="shared" si="165"/>
        <v>0</v>
      </c>
      <c r="AB38" s="3">
        <f t="shared" si="165"/>
        <v>0</v>
      </c>
      <c r="AC38" s="3">
        <f t="shared" si="165"/>
        <v>0</v>
      </c>
      <c r="AD38" s="3">
        <f t="shared" si="165"/>
        <v>0</v>
      </c>
      <c r="AE38" s="3">
        <f t="shared" si="165"/>
        <v>0</v>
      </c>
      <c r="AF38" s="3">
        <f t="shared" si="165"/>
        <v>0</v>
      </c>
      <c r="AH38" s="3">
        <f t="shared" ref="AH38:AS38" si="166">IF(AND(AH$5&gt;=$C38,AH$5&lt;=$D38),$E38,0)</f>
        <v>0</v>
      </c>
      <c r="AI38" s="3">
        <f t="shared" si="166"/>
        <v>0</v>
      </c>
      <c r="AJ38" s="3">
        <f t="shared" si="166"/>
        <v>0</v>
      </c>
      <c r="AK38" s="3">
        <f t="shared" si="166"/>
        <v>0</v>
      </c>
      <c r="AL38" s="3">
        <f t="shared" si="166"/>
        <v>0</v>
      </c>
      <c r="AM38" s="3">
        <f t="shared" si="166"/>
        <v>0</v>
      </c>
      <c r="AN38" s="3">
        <f t="shared" si="166"/>
        <v>0</v>
      </c>
      <c r="AO38" s="3">
        <f t="shared" si="166"/>
        <v>0</v>
      </c>
      <c r="AP38" s="3">
        <f t="shared" si="166"/>
        <v>0</v>
      </c>
      <c r="AQ38" s="3">
        <f t="shared" si="166"/>
        <v>0</v>
      </c>
      <c r="AR38" s="3">
        <f t="shared" si="166"/>
        <v>0</v>
      </c>
      <c r="AS38" s="3">
        <f t="shared" si="166"/>
        <v>0</v>
      </c>
      <c r="AU38" s="3">
        <f t="shared" ref="AU38:BF38" si="167">IF(AND(AU$5&gt;=$C38,AU$5&lt;=$D38),$E38,0)</f>
        <v>0</v>
      </c>
      <c r="AV38" s="3">
        <f t="shared" si="167"/>
        <v>0</v>
      </c>
      <c r="AW38" s="3">
        <f t="shared" si="167"/>
        <v>0</v>
      </c>
      <c r="AX38" s="3">
        <f t="shared" si="167"/>
        <v>0</v>
      </c>
      <c r="AY38" s="3">
        <f t="shared" si="167"/>
        <v>0</v>
      </c>
      <c r="AZ38" s="3">
        <f t="shared" si="167"/>
        <v>0</v>
      </c>
      <c r="BA38" s="3">
        <f t="shared" si="167"/>
        <v>0</v>
      </c>
      <c r="BB38" s="3">
        <f t="shared" si="167"/>
        <v>0</v>
      </c>
      <c r="BC38" s="3">
        <f t="shared" si="167"/>
        <v>0</v>
      </c>
      <c r="BD38" s="3">
        <f t="shared" si="167"/>
        <v>0</v>
      </c>
      <c r="BE38" s="3">
        <f t="shared" si="167"/>
        <v>0</v>
      </c>
      <c r="BF38" s="3">
        <f t="shared" si="167"/>
        <v>0</v>
      </c>
      <c r="BG38" s="2"/>
      <c r="BH38" s="3">
        <f t="shared" ref="BH38:BS38" si="168">IF(AND(BH$5&gt;=$C38,BH$5&lt;=$D38),$E38,0)</f>
        <v>0</v>
      </c>
      <c r="BI38" s="3">
        <f t="shared" si="168"/>
        <v>0</v>
      </c>
      <c r="BJ38" s="3">
        <f t="shared" si="168"/>
        <v>0</v>
      </c>
      <c r="BK38" s="3">
        <f t="shared" si="168"/>
        <v>0</v>
      </c>
      <c r="BL38" s="3">
        <f t="shared" si="168"/>
        <v>0</v>
      </c>
      <c r="BM38" s="3">
        <f t="shared" si="168"/>
        <v>0</v>
      </c>
      <c r="BN38" s="3">
        <f t="shared" si="168"/>
        <v>0</v>
      </c>
      <c r="BO38" s="3">
        <f t="shared" si="168"/>
        <v>0</v>
      </c>
      <c r="BP38" s="3">
        <f t="shared" si="168"/>
        <v>0</v>
      </c>
      <c r="BQ38" s="3">
        <f t="shared" si="168"/>
        <v>0</v>
      </c>
      <c r="BR38" s="3">
        <f t="shared" si="168"/>
        <v>0</v>
      </c>
      <c r="BS38" s="3">
        <f t="shared" si="168"/>
        <v>0</v>
      </c>
      <c r="BT38" s="2"/>
    </row>
    <row r="39" spans="1:72" ht="15.75" customHeight="1">
      <c r="A39" s="54" t="str">
        <f>IF('Capital purchases'!C43="","",'Capital purchases'!C43)</f>
        <v/>
      </c>
      <c r="B39" s="2"/>
      <c r="C39" s="2" t="str">
        <f>IF($A39="","",'Capital purchases'!B43)</f>
        <v/>
      </c>
      <c r="D39" s="3" t="str">
        <f>IF($A39="","",'Capital purchases'!J43)</f>
        <v/>
      </c>
      <c r="E39" s="161" t="str">
        <f>IF($A39="","",'Capital purchases'!I43)</f>
        <v/>
      </c>
      <c r="H39" s="3">
        <f t="shared" ref="H39:S39" si="169">IF(AND(H$5&gt;=$C39,H$5&lt;=$D39),$E39,0)</f>
        <v>0</v>
      </c>
      <c r="I39" s="3">
        <f t="shared" si="169"/>
        <v>0</v>
      </c>
      <c r="J39" s="3">
        <f t="shared" si="169"/>
        <v>0</v>
      </c>
      <c r="K39" s="3">
        <f t="shared" si="169"/>
        <v>0</v>
      </c>
      <c r="L39" s="3">
        <f t="shared" si="169"/>
        <v>0</v>
      </c>
      <c r="M39" s="3">
        <f t="shared" si="169"/>
        <v>0</v>
      </c>
      <c r="N39" s="3">
        <f t="shared" si="169"/>
        <v>0</v>
      </c>
      <c r="O39" s="3">
        <f t="shared" si="169"/>
        <v>0</v>
      </c>
      <c r="P39" s="3">
        <f t="shared" si="169"/>
        <v>0</v>
      </c>
      <c r="Q39" s="3">
        <f t="shared" si="169"/>
        <v>0</v>
      </c>
      <c r="R39" s="3">
        <f t="shared" si="169"/>
        <v>0</v>
      </c>
      <c r="S39" s="3">
        <f t="shared" si="169"/>
        <v>0</v>
      </c>
      <c r="U39" s="3">
        <f t="shared" ref="U39:AF39" si="170">IF(AND(U$5&gt;=$C39,U$5&lt;=$D39),$E39,0)</f>
        <v>0</v>
      </c>
      <c r="V39" s="3">
        <f t="shared" si="170"/>
        <v>0</v>
      </c>
      <c r="W39" s="3">
        <f t="shared" si="170"/>
        <v>0</v>
      </c>
      <c r="X39" s="3">
        <f t="shared" si="170"/>
        <v>0</v>
      </c>
      <c r="Y39" s="3">
        <f t="shared" si="170"/>
        <v>0</v>
      </c>
      <c r="Z39" s="3">
        <f t="shared" si="170"/>
        <v>0</v>
      </c>
      <c r="AA39" s="3">
        <f t="shared" si="170"/>
        <v>0</v>
      </c>
      <c r="AB39" s="3">
        <f t="shared" si="170"/>
        <v>0</v>
      </c>
      <c r="AC39" s="3">
        <f t="shared" si="170"/>
        <v>0</v>
      </c>
      <c r="AD39" s="3">
        <f t="shared" si="170"/>
        <v>0</v>
      </c>
      <c r="AE39" s="3">
        <f t="shared" si="170"/>
        <v>0</v>
      </c>
      <c r="AF39" s="3">
        <f t="shared" si="170"/>
        <v>0</v>
      </c>
      <c r="AH39" s="3">
        <f t="shared" ref="AH39:AS39" si="171">IF(AND(AH$5&gt;=$C39,AH$5&lt;=$D39),$E39,0)</f>
        <v>0</v>
      </c>
      <c r="AI39" s="3">
        <f t="shared" si="171"/>
        <v>0</v>
      </c>
      <c r="AJ39" s="3">
        <f t="shared" si="171"/>
        <v>0</v>
      </c>
      <c r="AK39" s="3">
        <f t="shared" si="171"/>
        <v>0</v>
      </c>
      <c r="AL39" s="3">
        <f t="shared" si="171"/>
        <v>0</v>
      </c>
      <c r="AM39" s="3">
        <f t="shared" si="171"/>
        <v>0</v>
      </c>
      <c r="AN39" s="3">
        <f t="shared" si="171"/>
        <v>0</v>
      </c>
      <c r="AO39" s="3">
        <f t="shared" si="171"/>
        <v>0</v>
      </c>
      <c r="AP39" s="3">
        <f t="shared" si="171"/>
        <v>0</v>
      </c>
      <c r="AQ39" s="3">
        <f t="shared" si="171"/>
        <v>0</v>
      </c>
      <c r="AR39" s="3">
        <f t="shared" si="171"/>
        <v>0</v>
      </c>
      <c r="AS39" s="3">
        <f t="shared" si="171"/>
        <v>0</v>
      </c>
      <c r="AU39" s="3">
        <f t="shared" ref="AU39:BF39" si="172">IF(AND(AU$5&gt;=$C39,AU$5&lt;=$D39),$E39,0)</f>
        <v>0</v>
      </c>
      <c r="AV39" s="3">
        <f t="shared" si="172"/>
        <v>0</v>
      </c>
      <c r="AW39" s="3">
        <f t="shared" si="172"/>
        <v>0</v>
      </c>
      <c r="AX39" s="3">
        <f t="shared" si="172"/>
        <v>0</v>
      </c>
      <c r="AY39" s="3">
        <f t="shared" si="172"/>
        <v>0</v>
      </c>
      <c r="AZ39" s="3">
        <f t="shared" si="172"/>
        <v>0</v>
      </c>
      <c r="BA39" s="3">
        <f t="shared" si="172"/>
        <v>0</v>
      </c>
      <c r="BB39" s="3">
        <f t="shared" si="172"/>
        <v>0</v>
      </c>
      <c r="BC39" s="3">
        <f t="shared" si="172"/>
        <v>0</v>
      </c>
      <c r="BD39" s="3">
        <f t="shared" si="172"/>
        <v>0</v>
      </c>
      <c r="BE39" s="3">
        <f t="shared" si="172"/>
        <v>0</v>
      </c>
      <c r="BF39" s="3">
        <f t="shared" si="172"/>
        <v>0</v>
      </c>
      <c r="BG39" s="2"/>
      <c r="BH39" s="3">
        <f t="shared" ref="BH39:BS39" si="173">IF(AND(BH$5&gt;=$C39,BH$5&lt;=$D39),$E39,0)</f>
        <v>0</v>
      </c>
      <c r="BI39" s="3">
        <f t="shared" si="173"/>
        <v>0</v>
      </c>
      <c r="BJ39" s="3">
        <f t="shared" si="173"/>
        <v>0</v>
      </c>
      <c r="BK39" s="3">
        <f t="shared" si="173"/>
        <v>0</v>
      </c>
      <c r="BL39" s="3">
        <f t="shared" si="173"/>
        <v>0</v>
      </c>
      <c r="BM39" s="3">
        <f t="shared" si="173"/>
        <v>0</v>
      </c>
      <c r="BN39" s="3">
        <f t="shared" si="173"/>
        <v>0</v>
      </c>
      <c r="BO39" s="3">
        <f t="shared" si="173"/>
        <v>0</v>
      </c>
      <c r="BP39" s="3">
        <f t="shared" si="173"/>
        <v>0</v>
      </c>
      <c r="BQ39" s="3">
        <f t="shared" si="173"/>
        <v>0</v>
      </c>
      <c r="BR39" s="3">
        <f t="shared" si="173"/>
        <v>0</v>
      </c>
      <c r="BS39" s="3">
        <f t="shared" si="173"/>
        <v>0</v>
      </c>
      <c r="BT39" s="2"/>
    </row>
    <row r="40" spans="1:72" ht="15.75" customHeight="1">
      <c r="A40" s="54" t="str">
        <f>IF('Capital purchases'!C44="","",'Capital purchases'!C44)</f>
        <v/>
      </c>
      <c r="B40" s="2"/>
      <c r="C40" s="2" t="str">
        <f>IF($A40="","",'Capital purchases'!B44)</f>
        <v/>
      </c>
      <c r="D40" s="3" t="str">
        <f>IF($A40="","",'Capital purchases'!J44)</f>
        <v/>
      </c>
      <c r="E40" s="161" t="str">
        <f>IF($A40="","",'Capital purchases'!I44)</f>
        <v/>
      </c>
      <c r="H40" s="3">
        <f t="shared" ref="H40:S40" si="174">IF(AND(H$5&gt;=$C40,H$5&lt;=$D40),$E40,0)</f>
        <v>0</v>
      </c>
      <c r="I40" s="3">
        <f t="shared" si="174"/>
        <v>0</v>
      </c>
      <c r="J40" s="3">
        <f t="shared" si="174"/>
        <v>0</v>
      </c>
      <c r="K40" s="3">
        <f t="shared" si="174"/>
        <v>0</v>
      </c>
      <c r="L40" s="3">
        <f t="shared" si="174"/>
        <v>0</v>
      </c>
      <c r="M40" s="3">
        <f t="shared" si="174"/>
        <v>0</v>
      </c>
      <c r="N40" s="3">
        <f t="shared" si="174"/>
        <v>0</v>
      </c>
      <c r="O40" s="3">
        <f t="shared" si="174"/>
        <v>0</v>
      </c>
      <c r="P40" s="3">
        <f t="shared" si="174"/>
        <v>0</v>
      </c>
      <c r="Q40" s="3">
        <f t="shared" si="174"/>
        <v>0</v>
      </c>
      <c r="R40" s="3">
        <f t="shared" si="174"/>
        <v>0</v>
      </c>
      <c r="S40" s="3">
        <f t="shared" si="174"/>
        <v>0</v>
      </c>
      <c r="U40" s="3">
        <f t="shared" ref="U40:AF40" si="175">IF(AND(U$5&gt;=$C40,U$5&lt;=$D40),$E40,0)</f>
        <v>0</v>
      </c>
      <c r="V40" s="3">
        <f t="shared" si="175"/>
        <v>0</v>
      </c>
      <c r="W40" s="3">
        <f t="shared" si="175"/>
        <v>0</v>
      </c>
      <c r="X40" s="3">
        <f t="shared" si="175"/>
        <v>0</v>
      </c>
      <c r="Y40" s="3">
        <f t="shared" si="175"/>
        <v>0</v>
      </c>
      <c r="Z40" s="3">
        <f t="shared" si="175"/>
        <v>0</v>
      </c>
      <c r="AA40" s="3">
        <f t="shared" si="175"/>
        <v>0</v>
      </c>
      <c r="AB40" s="3">
        <f t="shared" si="175"/>
        <v>0</v>
      </c>
      <c r="AC40" s="3">
        <f t="shared" si="175"/>
        <v>0</v>
      </c>
      <c r="AD40" s="3">
        <f t="shared" si="175"/>
        <v>0</v>
      </c>
      <c r="AE40" s="3">
        <f t="shared" si="175"/>
        <v>0</v>
      </c>
      <c r="AF40" s="3">
        <f t="shared" si="175"/>
        <v>0</v>
      </c>
      <c r="AH40" s="3">
        <f t="shared" ref="AH40:AS40" si="176">IF(AND(AH$5&gt;=$C40,AH$5&lt;=$D40),$E40,0)</f>
        <v>0</v>
      </c>
      <c r="AI40" s="3">
        <f t="shared" si="176"/>
        <v>0</v>
      </c>
      <c r="AJ40" s="3">
        <f t="shared" si="176"/>
        <v>0</v>
      </c>
      <c r="AK40" s="3">
        <f t="shared" si="176"/>
        <v>0</v>
      </c>
      <c r="AL40" s="3">
        <f t="shared" si="176"/>
        <v>0</v>
      </c>
      <c r="AM40" s="3">
        <f t="shared" si="176"/>
        <v>0</v>
      </c>
      <c r="AN40" s="3">
        <f t="shared" si="176"/>
        <v>0</v>
      </c>
      <c r="AO40" s="3">
        <f t="shared" si="176"/>
        <v>0</v>
      </c>
      <c r="AP40" s="3">
        <f t="shared" si="176"/>
        <v>0</v>
      </c>
      <c r="AQ40" s="3">
        <f t="shared" si="176"/>
        <v>0</v>
      </c>
      <c r="AR40" s="3">
        <f t="shared" si="176"/>
        <v>0</v>
      </c>
      <c r="AS40" s="3">
        <f t="shared" si="176"/>
        <v>0</v>
      </c>
      <c r="AU40" s="3">
        <f t="shared" ref="AU40:BF40" si="177">IF(AND(AU$5&gt;=$C40,AU$5&lt;=$D40),$E40,0)</f>
        <v>0</v>
      </c>
      <c r="AV40" s="3">
        <f t="shared" si="177"/>
        <v>0</v>
      </c>
      <c r="AW40" s="3">
        <f t="shared" si="177"/>
        <v>0</v>
      </c>
      <c r="AX40" s="3">
        <f t="shared" si="177"/>
        <v>0</v>
      </c>
      <c r="AY40" s="3">
        <f t="shared" si="177"/>
        <v>0</v>
      </c>
      <c r="AZ40" s="3">
        <f t="shared" si="177"/>
        <v>0</v>
      </c>
      <c r="BA40" s="3">
        <f t="shared" si="177"/>
        <v>0</v>
      </c>
      <c r="BB40" s="3">
        <f t="shared" si="177"/>
        <v>0</v>
      </c>
      <c r="BC40" s="3">
        <f t="shared" si="177"/>
        <v>0</v>
      </c>
      <c r="BD40" s="3">
        <f t="shared" si="177"/>
        <v>0</v>
      </c>
      <c r="BE40" s="3">
        <f t="shared" si="177"/>
        <v>0</v>
      </c>
      <c r="BF40" s="3">
        <f t="shared" si="177"/>
        <v>0</v>
      </c>
      <c r="BG40" s="2"/>
      <c r="BH40" s="3">
        <f t="shared" ref="BH40:BS40" si="178">IF(AND(BH$5&gt;=$C40,BH$5&lt;=$D40),$E40,0)</f>
        <v>0</v>
      </c>
      <c r="BI40" s="3">
        <f t="shared" si="178"/>
        <v>0</v>
      </c>
      <c r="BJ40" s="3">
        <f t="shared" si="178"/>
        <v>0</v>
      </c>
      <c r="BK40" s="3">
        <f t="shared" si="178"/>
        <v>0</v>
      </c>
      <c r="BL40" s="3">
        <f t="shared" si="178"/>
        <v>0</v>
      </c>
      <c r="BM40" s="3">
        <f t="shared" si="178"/>
        <v>0</v>
      </c>
      <c r="BN40" s="3">
        <f t="shared" si="178"/>
        <v>0</v>
      </c>
      <c r="BO40" s="3">
        <f t="shared" si="178"/>
        <v>0</v>
      </c>
      <c r="BP40" s="3">
        <f t="shared" si="178"/>
        <v>0</v>
      </c>
      <c r="BQ40" s="3">
        <f t="shared" si="178"/>
        <v>0</v>
      </c>
      <c r="BR40" s="3">
        <f t="shared" si="178"/>
        <v>0</v>
      </c>
      <c r="BS40" s="3">
        <f t="shared" si="178"/>
        <v>0</v>
      </c>
      <c r="BT40" s="2"/>
    </row>
    <row r="41" spans="1:72" ht="15.75" customHeight="1">
      <c r="A41" s="54" t="str">
        <f>IF('Capital purchases'!C45="","",'Capital purchases'!C45)</f>
        <v/>
      </c>
      <c r="B41" s="2"/>
      <c r="C41" s="2" t="str">
        <f>IF($A41="","",'Capital purchases'!B45)</f>
        <v/>
      </c>
      <c r="D41" s="3" t="str">
        <f>IF($A41="","",'Capital purchases'!J45)</f>
        <v/>
      </c>
      <c r="E41" s="161" t="str">
        <f>IF($A41="","",'Capital purchases'!I45)</f>
        <v/>
      </c>
      <c r="H41" s="3">
        <f t="shared" ref="H41:S41" si="179">IF(AND(H$5&gt;=$C41,H$5&lt;=$D41),$E41,0)</f>
        <v>0</v>
      </c>
      <c r="I41" s="3">
        <f t="shared" si="179"/>
        <v>0</v>
      </c>
      <c r="J41" s="3">
        <f t="shared" si="179"/>
        <v>0</v>
      </c>
      <c r="K41" s="3">
        <f t="shared" si="179"/>
        <v>0</v>
      </c>
      <c r="L41" s="3">
        <f t="shared" si="179"/>
        <v>0</v>
      </c>
      <c r="M41" s="3">
        <f t="shared" si="179"/>
        <v>0</v>
      </c>
      <c r="N41" s="3">
        <f t="shared" si="179"/>
        <v>0</v>
      </c>
      <c r="O41" s="3">
        <f t="shared" si="179"/>
        <v>0</v>
      </c>
      <c r="P41" s="3">
        <f t="shared" si="179"/>
        <v>0</v>
      </c>
      <c r="Q41" s="3">
        <f t="shared" si="179"/>
        <v>0</v>
      </c>
      <c r="R41" s="3">
        <f t="shared" si="179"/>
        <v>0</v>
      </c>
      <c r="S41" s="3">
        <f t="shared" si="179"/>
        <v>0</v>
      </c>
      <c r="U41" s="3">
        <f t="shared" ref="U41:AF41" si="180">IF(AND(U$5&gt;=$C41,U$5&lt;=$D41),$E41,0)</f>
        <v>0</v>
      </c>
      <c r="V41" s="3">
        <f t="shared" si="180"/>
        <v>0</v>
      </c>
      <c r="W41" s="3">
        <f t="shared" si="180"/>
        <v>0</v>
      </c>
      <c r="X41" s="3">
        <f t="shared" si="180"/>
        <v>0</v>
      </c>
      <c r="Y41" s="3">
        <f t="shared" si="180"/>
        <v>0</v>
      </c>
      <c r="Z41" s="3">
        <f t="shared" si="180"/>
        <v>0</v>
      </c>
      <c r="AA41" s="3">
        <f t="shared" si="180"/>
        <v>0</v>
      </c>
      <c r="AB41" s="3">
        <f t="shared" si="180"/>
        <v>0</v>
      </c>
      <c r="AC41" s="3">
        <f t="shared" si="180"/>
        <v>0</v>
      </c>
      <c r="AD41" s="3">
        <f t="shared" si="180"/>
        <v>0</v>
      </c>
      <c r="AE41" s="3">
        <f t="shared" si="180"/>
        <v>0</v>
      </c>
      <c r="AF41" s="3">
        <f t="shared" si="180"/>
        <v>0</v>
      </c>
      <c r="AH41" s="3">
        <f t="shared" ref="AH41:AS41" si="181">IF(AND(AH$5&gt;=$C41,AH$5&lt;=$D41),$E41,0)</f>
        <v>0</v>
      </c>
      <c r="AI41" s="3">
        <f t="shared" si="181"/>
        <v>0</v>
      </c>
      <c r="AJ41" s="3">
        <f t="shared" si="181"/>
        <v>0</v>
      </c>
      <c r="AK41" s="3">
        <f t="shared" si="181"/>
        <v>0</v>
      </c>
      <c r="AL41" s="3">
        <f t="shared" si="181"/>
        <v>0</v>
      </c>
      <c r="AM41" s="3">
        <f t="shared" si="181"/>
        <v>0</v>
      </c>
      <c r="AN41" s="3">
        <f t="shared" si="181"/>
        <v>0</v>
      </c>
      <c r="AO41" s="3">
        <f t="shared" si="181"/>
        <v>0</v>
      </c>
      <c r="AP41" s="3">
        <f t="shared" si="181"/>
        <v>0</v>
      </c>
      <c r="AQ41" s="3">
        <f t="shared" si="181"/>
        <v>0</v>
      </c>
      <c r="AR41" s="3">
        <f t="shared" si="181"/>
        <v>0</v>
      </c>
      <c r="AS41" s="3">
        <f t="shared" si="181"/>
        <v>0</v>
      </c>
      <c r="AU41" s="3">
        <f t="shared" ref="AU41:BF41" si="182">IF(AND(AU$5&gt;=$C41,AU$5&lt;=$D41),$E41,0)</f>
        <v>0</v>
      </c>
      <c r="AV41" s="3">
        <f t="shared" si="182"/>
        <v>0</v>
      </c>
      <c r="AW41" s="3">
        <f t="shared" si="182"/>
        <v>0</v>
      </c>
      <c r="AX41" s="3">
        <f t="shared" si="182"/>
        <v>0</v>
      </c>
      <c r="AY41" s="3">
        <f t="shared" si="182"/>
        <v>0</v>
      </c>
      <c r="AZ41" s="3">
        <f t="shared" si="182"/>
        <v>0</v>
      </c>
      <c r="BA41" s="3">
        <f t="shared" si="182"/>
        <v>0</v>
      </c>
      <c r="BB41" s="3">
        <f t="shared" si="182"/>
        <v>0</v>
      </c>
      <c r="BC41" s="3">
        <f t="shared" si="182"/>
        <v>0</v>
      </c>
      <c r="BD41" s="3">
        <f t="shared" si="182"/>
        <v>0</v>
      </c>
      <c r="BE41" s="3">
        <f t="shared" si="182"/>
        <v>0</v>
      </c>
      <c r="BF41" s="3">
        <f t="shared" si="182"/>
        <v>0</v>
      </c>
      <c r="BG41" s="2"/>
      <c r="BH41" s="3">
        <f t="shared" ref="BH41:BS41" si="183">IF(AND(BH$5&gt;=$C41,BH$5&lt;=$D41),$E41,0)</f>
        <v>0</v>
      </c>
      <c r="BI41" s="3">
        <f t="shared" si="183"/>
        <v>0</v>
      </c>
      <c r="BJ41" s="3">
        <f t="shared" si="183"/>
        <v>0</v>
      </c>
      <c r="BK41" s="3">
        <f t="shared" si="183"/>
        <v>0</v>
      </c>
      <c r="BL41" s="3">
        <f t="shared" si="183"/>
        <v>0</v>
      </c>
      <c r="BM41" s="3">
        <f t="shared" si="183"/>
        <v>0</v>
      </c>
      <c r="BN41" s="3">
        <f t="shared" si="183"/>
        <v>0</v>
      </c>
      <c r="BO41" s="3">
        <f t="shared" si="183"/>
        <v>0</v>
      </c>
      <c r="BP41" s="3">
        <f t="shared" si="183"/>
        <v>0</v>
      </c>
      <c r="BQ41" s="3">
        <f t="shared" si="183"/>
        <v>0</v>
      </c>
      <c r="BR41" s="3">
        <f t="shared" si="183"/>
        <v>0</v>
      </c>
      <c r="BS41" s="3">
        <f t="shared" si="183"/>
        <v>0</v>
      </c>
      <c r="BT41" s="2"/>
    </row>
    <row r="42" spans="1:72" ht="15.75" customHeight="1">
      <c r="A42" s="54" t="str">
        <f>IF('Capital purchases'!C46="","",'Capital purchases'!C46)</f>
        <v/>
      </c>
      <c r="B42" s="2"/>
      <c r="C42" s="2" t="str">
        <f>IF($A42="","",'Capital purchases'!B46)</f>
        <v/>
      </c>
      <c r="D42" s="3" t="str">
        <f>IF($A42="","",'Capital purchases'!J46)</f>
        <v/>
      </c>
      <c r="E42" s="161" t="str">
        <f>IF($A42="","",'Capital purchases'!I46)</f>
        <v/>
      </c>
      <c r="H42" s="3">
        <f t="shared" ref="H42:S42" si="184">IF(AND(H$5&gt;=$C42,H$5&lt;=$D42),$E42,0)</f>
        <v>0</v>
      </c>
      <c r="I42" s="3">
        <f t="shared" si="184"/>
        <v>0</v>
      </c>
      <c r="J42" s="3">
        <f t="shared" si="184"/>
        <v>0</v>
      </c>
      <c r="K42" s="3">
        <f t="shared" si="184"/>
        <v>0</v>
      </c>
      <c r="L42" s="3">
        <f t="shared" si="184"/>
        <v>0</v>
      </c>
      <c r="M42" s="3">
        <f t="shared" si="184"/>
        <v>0</v>
      </c>
      <c r="N42" s="3">
        <f t="shared" si="184"/>
        <v>0</v>
      </c>
      <c r="O42" s="3">
        <f t="shared" si="184"/>
        <v>0</v>
      </c>
      <c r="P42" s="3">
        <f t="shared" si="184"/>
        <v>0</v>
      </c>
      <c r="Q42" s="3">
        <f t="shared" si="184"/>
        <v>0</v>
      </c>
      <c r="R42" s="3">
        <f t="shared" si="184"/>
        <v>0</v>
      </c>
      <c r="S42" s="3">
        <f t="shared" si="184"/>
        <v>0</v>
      </c>
      <c r="U42" s="3">
        <f t="shared" ref="U42:AF42" si="185">IF(AND(U$5&gt;=$C42,U$5&lt;=$D42),$E42,0)</f>
        <v>0</v>
      </c>
      <c r="V42" s="3">
        <f t="shared" si="185"/>
        <v>0</v>
      </c>
      <c r="W42" s="3">
        <f t="shared" si="185"/>
        <v>0</v>
      </c>
      <c r="X42" s="3">
        <f t="shared" si="185"/>
        <v>0</v>
      </c>
      <c r="Y42" s="3">
        <f t="shared" si="185"/>
        <v>0</v>
      </c>
      <c r="Z42" s="3">
        <f t="shared" si="185"/>
        <v>0</v>
      </c>
      <c r="AA42" s="3">
        <f t="shared" si="185"/>
        <v>0</v>
      </c>
      <c r="AB42" s="3">
        <f t="shared" si="185"/>
        <v>0</v>
      </c>
      <c r="AC42" s="3">
        <f t="shared" si="185"/>
        <v>0</v>
      </c>
      <c r="AD42" s="3">
        <f t="shared" si="185"/>
        <v>0</v>
      </c>
      <c r="AE42" s="3">
        <f t="shared" si="185"/>
        <v>0</v>
      </c>
      <c r="AF42" s="3">
        <f t="shared" si="185"/>
        <v>0</v>
      </c>
      <c r="AH42" s="3">
        <f t="shared" ref="AH42:AS42" si="186">IF(AND(AH$5&gt;=$C42,AH$5&lt;=$D42),$E42,0)</f>
        <v>0</v>
      </c>
      <c r="AI42" s="3">
        <f t="shared" si="186"/>
        <v>0</v>
      </c>
      <c r="AJ42" s="3">
        <f t="shared" si="186"/>
        <v>0</v>
      </c>
      <c r="AK42" s="3">
        <f t="shared" si="186"/>
        <v>0</v>
      </c>
      <c r="AL42" s="3">
        <f t="shared" si="186"/>
        <v>0</v>
      </c>
      <c r="AM42" s="3">
        <f t="shared" si="186"/>
        <v>0</v>
      </c>
      <c r="AN42" s="3">
        <f t="shared" si="186"/>
        <v>0</v>
      </c>
      <c r="AO42" s="3">
        <f t="shared" si="186"/>
        <v>0</v>
      </c>
      <c r="AP42" s="3">
        <f t="shared" si="186"/>
        <v>0</v>
      </c>
      <c r="AQ42" s="3">
        <f t="shared" si="186"/>
        <v>0</v>
      </c>
      <c r="AR42" s="3">
        <f t="shared" si="186"/>
        <v>0</v>
      </c>
      <c r="AS42" s="3">
        <f t="shared" si="186"/>
        <v>0</v>
      </c>
      <c r="AU42" s="3">
        <f t="shared" ref="AU42:BF42" si="187">IF(AND(AU$5&gt;=$C42,AU$5&lt;=$D42),$E42,0)</f>
        <v>0</v>
      </c>
      <c r="AV42" s="3">
        <f t="shared" si="187"/>
        <v>0</v>
      </c>
      <c r="AW42" s="3">
        <f t="shared" si="187"/>
        <v>0</v>
      </c>
      <c r="AX42" s="3">
        <f t="shared" si="187"/>
        <v>0</v>
      </c>
      <c r="AY42" s="3">
        <f t="shared" si="187"/>
        <v>0</v>
      </c>
      <c r="AZ42" s="3">
        <f t="shared" si="187"/>
        <v>0</v>
      </c>
      <c r="BA42" s="3">
        <f t="shared" si="187"/>
        <v>0</v>
      </c>
      <c r="BB42" s="3">
        <f t="shared" si="187"/>
        <v>0</v>
      </c>
      <c r="BC42" s="3">
        <f t="shared" si="187"/>
        <v>0</v>
      </c>
      <c r="BD42" s="3">
        <f t="shared" si="187"/>
        <v>0</v>
      </c>
      <c r="BE42" s="3">
        <f t="shared" si="187"/>
        <v>0</v>
      </c>
      <c r="BF42" s="3">
        <f t="shared" si="187"/>
        <v>0</v>
      </c>
      <c r="BG42" s="2"/>
      <c r="BH42" s="3">
        <f t="shared" ref="BH42:BS42" si="188">IF(AND(BH$5&gt;=$C42,BH$5&lt;=$D42),$E42,0)</f>
        <v>0</v>
      </c>
      <c r="BI42" s="3">
        <f t="shared" si="188"/>
        <v>0</v>
      </c>
      <c r="BJ42" s="3">
        <f t="shared" si="188"/>
        <v>0</v>
      </c>
      <c r="BK42" s="3">
        <f t="shared" si="188"/>
        <v>0</v>
      </c>
      <c r="BL42" s="3">
        <f t="shared" si="188"/>
        <v>0</v>
      </c>
      <c r="BM42" s="3">
        <f t="shared" si="188"/>
        <v>0</v>
      </c>
      <c r="BN42" s="3">
        <f t="shared" si="188"/>
        <v>0</v>
      </c>
      <c r="BO42" s="3">
        <f t="shared" si="188"/>
        <v>0</v>
      </c>
      <c r="BP42" s="3">
        <f t="shared" si="188"/>
        <v>0</v>
      </c>
      <c r="BQ42" s="3">
        <f t="shared" si="188"/>
        <v>0</v>
      </c>
      <c r="BR42" s="3">
        <f t="shared" si="188"/>
        <v>0</v>
      </c>
      <c r="BS42" s="3">
        <f t="shared" si="188"/>
        <v>0</v>
      </c>
      <c r="BT42" s="2"/>
    </row>
    <row r="43" spans="1:72" ht="15.75" customHeight="1">
      <c r="A43" s="54" t="str">
        <f>IF('Capital purchases'!C47="","",'Capital purchases'!C47)</f>
        <v/>
      </c>
      <c r="B43" s="2"/>
      <c r="C43" s="2" t="str">
        <f>IF($A43="","",'Capital purchases'!B47)</f>
        <v/>
      </c>
      <c r="D43" s="3" t="str">
        <f>IF($A43="","",'Capital purchases'!J47)</f>
        <v/>
      </c>
      <c r="E43" s="161" t="str">
        <f>IF($A43="","",'Capital purchases'!I47)</f>
        <v/>
      </c>
      <c r="H43" s="3">
        <f t="shared" ref="H43:S43" si="189">IF(AND(H$5&gt;=$C43,H$5&lt;=$D43),$E43,0)</f>
        <v>0</v>
      </c>
      <c r="I43" s="3">
        <f t="shared" si="189"/>
        <v>0</v>
      </c>
      <c r="J43" s="3">
        <f t="shared" si="189"/>
        <v>0</v>
      </c>
      <c r="K43" s="3">
        <f t="shared" si="189"/>
        <v>0</v>
      </c>
      <c r="L43" s="3">
        <f t="shared" si="189"/>
        <v>0</v>
      </c>
      <c r="M43" s="3">
        <f t="shared" si="189"/>
        <v>0</v>
      </c>
      <c r="N43" s="3">
        <f t="shared" si="189"/>
        <v>0</v>
      </c>
      <c r="O43" s="3">
        <f t="shared" si="189"/>
        <v>0</v>
      </c>
      <c r="P43" s="3">
        <f t="shared" si="189"/>
        <v>0</v>
      </c>
      <c r="Q43" s="3">
        <f t="shared" si="189"/>
        <v>0</v>
      </c>
      <c r="R43" s="3">
        <f t="shared" si="189"/>
        <v>0</v>
      </c>
      <c r="S43" s="3">
        <f t="shared" si="189"/>
        <v>0</v>
      </c>
      <c r="U43" s="3">
        <f t="shared" ref="U43:AF43" si="190">IF(AND(U$5&gt;=$C43,U$5&lt;=$D43),$E43,0)</f>
        <v>0</v>
      </c>
      <c r="V43" s="3">
        <f t="shared" si="190"/>
        <v>0</v>
      </c>
      <c r="W43" s="3">
        <f t="shared" si="190"/>
        <v>0</v>
      </c>
      <c r="X43" s="3">
        <f t="shared" si="190"/>
        <v>0</v>
      </c>
      <c r="Y43" s="3">
        <f t="shared" si="190"/>
        <v>0</v>
      </c>
      <c r="Z43" s="3">
        <f t="shared" si="190"/>
        <v>0</v>
      </c>
      <c r="AA43" s="3">
        <f t="shared" si="190"/>
        <v>0</v>
      </c>
      <c r="AB43" s="3">
        <f t="shared" si="190"/>
        <v>0</v>
      </c>
      <c r="AC43" s="3">
        <f t="shared" si="190"/>
        <v>0</v>
      </c>
      <c r="AD43" s="3">
        <f t="shared" si="190"/>
        <v>0</v>
      </c>
      <c r="AE43" s="3">
        <f t="shared" si="190"/>
        <v>0</v>
      </c>
      <c r="AF43" s="3">
        <f t="shared" si="190"/>
        <v>0</v>
      </c>
      <c r="AH43" s="3">
        <f t="shared" ref="AH43:AS43" si="191">IF(AND(AH$5&gt;=$C43,AH$5&lt;=$D43),$E43,0)</f>
        <v>0</v>
      </c>
      <c r="AI43" s="3">
        <f t="shared" si="191"/>
        <v>0</v>
      </c>
      <c r="AJ43" s="3">
        <f t="shared" si="191"/>
        <v>0</v>
      </c>
      <c r="AK43" s="3">
        <f t="shared" si="191"/>
        <v>0</v>
      </c>
      <c r="AL43" s="3">
        <f t="shared" si="191"/>
        <v>0</v>
      </c>
      <c r="AM43" s="3">
        <f t="shared" si="191"/>
        <v>0</v>
      </c>
      <c r="AN43" s="3">
        <f t="shared" si="191"/>
        <v>0</v>
      </c>
      <c r="AO43" s="3">
        <f t="shared" si="191"/>
        <v>0</v>
      </c>
      <c r="AP43" s="3">
        <f t="shared" si="191"/>
        <v>0</v>
      </c>
      <c r="AQ43" s="3">
        <f t="shared" si="191"/>
        <v>0</v>
      </c>
      <c r="AR43" s="3">
        <f t="shared" si="191"/>
        <v>0</v>
      </c>
      <c r="AS43" s="3">
        <f t="shared" si="191"/>
        <v>0</v>
      </c>
      <c r="AU43" s="3">
        <f t="shared" ref="AU43:BF43" si="192">IF(AND(AU$5&gt;=$C43,AU$5&lt;=$D43),$E43,0)</f>
        <v>0</v>
      </c>
      <c r="AV43" s="3">
        <f t="shared" si="192"/>
        <v>0</v>
      </c>
      <c r="AW43" s="3">
        <f t="shared" si="192"/>
        <v>0</v>
      </c>
      <c r="AX43" s="3">
        <f t="shared" si="192"/>
        <v>0</v>
      </c>
      <c r="AY43" s="3">
        <f t="shared" si="192"/>
        <v>0</v>
      </c>
      <c r="AZ43" s="3">
        <f t="shared" si="192"/>
        <v>0</v>
      </c>
      <c r="BA43" s="3">
        <f t="shared" si="192"/>
        <v>0</v>
      </c>
      <c r="BB43" s="3">
        <f t="shared" si="192"/>
        <v>0</v>
      </c>
      <c r="BC43" s="3">
        <f t="shared" si="192"/>
        <v>0</v>
      </c>
      <c r="BD43" s="3">
        <f t="shared" si="192"/>
        <v>0</v>
      </c>
      <c r="BE43" s="3">
        <f t="shared" si="192"/>
        <v>0</v>
      </c>
      <c r="BF43" s="3">
        <f t="shared" si="192"/>
        <v>0</v>
      </c>
      <c r="BG43" s="2"/>
      <c r="BH43" s="3">
        <f t="shared" ref="BH43:BS43" si="193">IF(AND(BH$5&gt;=$C43,BH$5&lt;=$D43),$E43,0)</f>
        <v>0</v>
      </c>
      <c r="BI43" s="3">
        <f t="shared" si="193"/>
        <v>0</v>
      </c>
      <c r="BJ43" s="3">
        <f t="shared" si="193"/>
        <v>0</v>
      </c>
      <c r="BK43" s="3">
        <f t="shared" si="193"/>
        <v>0</v>
      </c>
      <c r="BL43" s="3">
        <f t="shared" si="193"/>
        <v>0</v>
      </c>
      <c r="BM43" s="3">
        <f t="shared" si="193"/>
        <v>0</v>
      </c>
      <c r="BN43" s="3">
        <f t="shared" si="193"/>
        <v>0</v>
      </c>
      <c r="BO43" s="3">
        <f t="shared" si="193"/>
        <v>0</v>
      </c>
      <c r="BP43" s="3">
        <f t="shared" si="193"/>
        <v>0</v>
      </c>
      <c r="BQ43" s="3">
        <f t="shared" si="193"/>
        <v>0</v>
      </c>
      <c r="BR43" s="3">
        <f t="shared" si="193"/>
        <v>0</v>
      </c>
      <c r="BS43" s="3">
        <f t="shared" si="193"/>
        <v>0</v>
      </c>
      <c r="BT43" s="2"/>
    </row>
    <row r="44" spans="1:72" ht="15.75" customHeight="1">
      <c r="A44" s="54" t="str">
        <f>IF('Capital purchases'!C48="","",'Capital purchases'!C48)</f>
        <v/>
      </c>
      <c r="B44" s="2"/>
      <c r="C44" s="2" t="str">
        <f>IF($A44="","",'Capital purchases'!B48)</f>
        <v/>
      </c>
      <c r="D44" s="3" t="str">
        <f>IF($A44="","",'Capital purchases'!J48)</f>
        <v/>
      </c>
      <c r="E44" s="161" t="str">
        <f>IF($A44="","",'Capital purchases'!I48)</f>
        <v/>
      </c>
      <c r="H44" s="3">
        <f t="shared" ref="H44:S44" si="194">IF(AND(H$5&gt;=$C44,H$5&lt;=$D44),$E44,0)</f>
        <v>0</v>
      </c>
      <c r="I44" s="3">
        <f t="shared" si="194"/>
        <v>0</v>
      </c>
      <c r="J44" s="3">
        <f t="shared" si="194"/>
        <v>0</v>
      </c>
      <c r="K44" s="3">
        <f t="shared" si="194"/>
        <v>0</v>
      </c>
      <c r="L44" s="3">
        <f t="shared" si="194"/>
        <v>0</v>
      </c>
      <c r="M44" s="3">
        <f t="shared" si="194"/>
        <v>0</v>
      </c>
      <c r="N44" s="3">
        <f t="shared" si="194"/>
        <v>0</v>
      </c>
      <c r="O44" s="3">
        <f t="shared" si="194"/>
        <v>0</v>
      </c>
      <c r="P44" s="3">
        <f t="shared" si="194"/>
        <v>0</v>
      </c>
      <c r="Q44" s="3">
        <f t="shared" si="194"/>
        <v>0</v>
      </c>
      <c r="R44" s="3">
        <f t="shared" si="194"/>
        <v>0</v>
      </c>
      <c r="S44" s="3">
        <f t="shared" si="194"/>
        <v>0</v>
      </c>
      <c r="U44" s="3">
        <f t="shared" ref="U44:AF44" si="195">IF(AND(U$5&gt;=$C44,U$5&lt;=$D44),$E44,0)</f>
        <v>0</v>
      </c>
      <c r="V44" s="3">
        <f t="shared" si="195"/>
        <v>0</v>
      </c>
      <c r="W44" s="3">
        <f t="shared" si="195"/>
        <v>0</v>
      </c>
      <c r="X44" s="3">
        <f t="shared" si="195"/>
        <v>0</v>
      </c>
      <c r="Y44" s="3">
        <f t="shared" si="195"/>
        <v>0</v>
      </c>
      <c r="Z44" s="3">
        <f t="shared" si="195"/>
        <v>0</v>
      </c>
      <c r="AA44" s="3">
        <f t="shared" si="195"/>
        <v>0</v>
      </c>
      <c r="AB44" s="3">
        <f t="shared" si="195"/>
        <v>0</v>
      </c>
      <c r="AC44" s="3">
        <f t="shared" si="195"/>
        <v>0</v>
      </c>
      <c r="AD44" s="3">
        <f t="shared" si="195"/>
        <v>0</v>
      </c>
      <c r="AE44" s="3">
        <f t="shared" si="195"/>
        <v>0</v>
      </c>
      <c r="AF44" s="3">
        <f t="shared" si="195"/>
        <v>0</v>
      </c>
      <c r="AH44" s="3">
        <f t="shared" ref="AH44:AS44" si="196">IF(AND(AH$5&gt;=$C44,AH$5&lt;=$D44),$E44,0)</f>
        <v>0</v>
      </c>
      <c r="AI44" s="3">
        <f t="shared" si="196"/>
        <v>0</v>
      </c>
      <c r="AJ44" s="3">
        <f t="shared" si="196"/>
        <v>0</v>
      </c>
      <c r="AK44" s="3">
        <f t="shared" si="196"/>
        <v>0</v>
      </c>
      <c r="AL44" s="3">
        <f t="shared" si="196"/>
        <v>0</v>
      </c>
      <c r="AM44" s="3">
        <f t="shared" si="196"/>
        <v>0</v>
      </c>
      <c r="AN44" s="3">
        <f t="shared" si="196"/>
        <v>0</v>
      </c>
      <c r="AO44" s="3">
        <f t="shared" si="196"/>
        <v>0</v>
      </c>
      <c r="AP44" s="3">
        <f t="shared" si="196"/>
        <v>0</v>
      </c>
      <c r="AQ44" s="3">
        <f t="shared" si="196"/>
        <v>0</v>
      </c>
      <c r="AR44" s="3">
        <f t="shared" si="196"/>
        <v>0</v>
      </c>
      <c r="AS44" s="3">
        <f t="shared" si="196"/>
        <v>0</v>
      </c>
      <c r="AU44" s="3">
        <f t="shared" ref="AU44:BF44" si="197">IF(AND(AU$5&gt;=$C44,AU$5&lt;=$D44),$E44,0)</f>
        <v>0</v>
      </c>
      <c r="AV44" s="3">
        <f t="shared" si="197"/>
        <v>0</v>
      </c>
      <c r="AW44" s="3">
        <f t="shared" si="197"/>
        <v>0</v>
      </c>
      <c r="AX44" s="3">
        <f t="shared" si="197"/>
        <v>0</v>
      </c>
      <c r="AY44" s="3">
        <f t="shared" si="197"/>
        <v>0</v>
      </c>
      <c r="AZ44" s="3">
        <f t="shared" si="197"/>
        <v>0</v>
      </c>
      <c r="BA44" s="3">
        <f t="shared" si="197"/>
        <v>0</v>
      </c>
      <c r="BB44" s="3">
        <f t="shared" si="197"/>
        <v>0</v>
      </c>
      <c r="BC44" s="3">
        <f t="shared" si="197"/>
        <v>0</v>
      </c>
      <c r="BD44" s="3">
        <f t="shared" si="197"/>
        <v>0</v>
      </c>
      <c r="BE44" s="3">
        <f t="shared" si="197"/>
        <v>0</v>
      </c>
      <c r="BF44" s="3">
        <f t="shared" si="197"/>
        <v>0</v>
      </c>
      <c r="BG44" s="2"/>
      <c r="BH44" s="3">
        <f t="shared" ref="BH44:BS44" si="198">IF(AND(BH$5&gt;=$C44,BH$5&lt;=$D44),$E44,0)</f>
        <v>0</v>
      </c>
      <c r="BI44" s="3">
        <f t="shared" si="198"/>
        <v>0</v>
      </c>
      <c r="BJ44" s="3">
        <f t="shared" si="198"/>
        <v>0</v>
      </c>
      <c r="BK44" s="3">
        <f t="shared" si="198"/>
        <v>0</v>
      </c>
      <c r="BL44" s="3">
        <f t="shared" si="198"/>
        <v>0</v>
      </c>
      <c r="BM44" s="3">
        <f t="shared" si="198"/>
        <v>0</v>
      </c>
      <c r="BN44" s="3">
        <f t="shared" si="198"/>
        <v>0</v>
      </c>
      <c r="BO44" s="3">
        <f t="shared" si="198"/>
        <v>0</v>
      </c>
      <c r="BP44" s="3">
        <f t="shared" si="198"/>
        <v>0</v>
      </c>
      <c r="BQ44" s="3">
        <f t="shared" si="198"/>
        <v>0</v>
      </c>
      <c r="BR44" s="3">
        <f t="shared" si="198"/>
        <v>0</v>
      </c>
      <c r="BS44" s="3">
        <f t="shared" si="198"/>
        <v>0</v>
      </c>
      <c r="BT44" s="2"/>
    </row>
    <row r="45" spans="1:72" ht="15.75" customHeight="1">
      <c r="A45" s="54" t="str">
        <f>IF('Capital purchases'!C49="","",'Capital purchases'!C49)</f>
        <v/>
      </c>
      <c r="B45" s="2"/>
      <c r="C45" s="2" t="str">
        <f>IF($A45="","",'Capital purchases'!B49)</f>
        <v/>
      </c>
      <c r="D45" s="3" t="str">
        <f>IF($A45="","",'Capital purchases'!J49)</f>
        <v/>
      </c>
      <c r="E45" s="161" t="str">
        <f>IF($A45="","",'Capital purchases'!I49)</f>
        <v/>
      </c>
      <c r="H45" s="3">
        <f t="shared" ref="H45:S45" si="199">IF(AND(H$5&gt;=$C45,H$5&lt;=$D45),$E45,0)</f>
        <v>0</v>
      </c>
      <c r="I45" s="3">
        <f t="shared" si="199"/>
        <v>0</v>
      </c>
      <c r="J45" s="3">
        <f t="shared" si="199"/>
        <v>0</v>
      </c>
      <c r="K45" s="3">
        <f t="shared" si="199"/>
        <v>0</v>
      </c>
      <c r="L45" s="3">
        <f t="shared" si="199"/>
        <v>0</v>
      </c>
      <c r="M45" s="3">
        <f t="shared" si="199"/>
        <v>0</v>
      </c>
      <c r="N45" s="3">
        <f t="shared" si="199"/>
        <v>0</v>
      </c>
      <c r="O45" s="3">
        <f t="shared" si="199"/>
        <v>0</v>
      </c>
      <c r="P45" s="3">
        <f t="shared" si="199"/>
        <v>0</v>
      </c>
      <c r="Q45" s="3">
        <f t="shared" si="199"/>
        <v>0</v>
      </c>
      <c r="R45" s="3">
        <f t="shared" si="199"/>
        <v>0</v>
      </c>
      <c r="S45" s="3">
        <f t="shared" si="199"/>
        <v>0</v>
      </c>
      <c r="U45" s="3">
        <f t="shared" ref="U45:AF45" si="200">IF(AND(U$5&gt;=$C45,U$5&lt;=$D45),$E45,0)</f>
        <v>0</v>
      </c>
      <c r="V45" s="3">
        <f t="shared" si="200"/>
        <v>0</v>
      </c>
      <c r="W45" s="3">
        <f t="shared" si="200"/>
        <v>0</v>
      </c>
      <c r="X45" s="3">
        <f t="shared" si="200"/>
        <v>0</v>
      </c>
      <c r="Y45" s="3">
        <f t="shared" si="200"/>
        <v>0</v>
      </c>
      <c r="Z45" s="3">
        <f t="shared" si="200"/>
        <v>0</v>
      </c>
      <c r="AA45" s="3">
        <f t="shared" si="200"/>
        <v>0</v>
      </c>
      <c r="AB45" s="3">
        <f t="shared" si="200"/>
        <v>0</v>
      </c>
      <c r="AC45" s="3">
        <f t="shared" si="200"/>
        <v>0</v>
      </c>
      <c r="AD45" s="3">
        <f t="shared" si="200"/>
        <v>0</v>
      </c>
      <c r="AE45" s="3">
        <f t="shared" si="200"/>
        <v>0</v>
      </c>
      <c r="AF45" s="3">
        <f t="shared" si="200"/>
        <v>0</v>
      </c>
      <c r="AH45" s="3">
        <f t="shared" ref="AH45:AS45" si="201">IF(AND(AH$5&gt;=$C45,AH$5&lt;=$D45),$E45,0)</f>
        <v>0</v>
      </c>
      <c r="AI45" s="3">
        <f t="shared" si="201"/>
        <v>0</v>
      </c>
      <c r="AJ45" s="3">
        <f t="shared" si="201"/>
        <v>0</v>
      </c>
      <c r="AK45" s="3">
        <f t="shared" si="201"/>
        <v>0</v>
      </c>
      <c r="AL45" s="3">
        <f t="shared" si="201"/>
        <v>0</v>
      </c>
      <c r="AM45" s="3">
        <f t="shared" si="201"/>
        <v>0</v>
      </c>
      <c r="AN45" s="3">
        <f t="shared" si="201"/>
        <v>0</v>
      </c>
      <c r="AO45" s="3">
        <f t="shared" si="201"/>
        <v>0</v>
      </c>
      <c r="AP45" s="3">
        <f t="shared" si="201"/>
        <v>0</v>
      </c>
      <c r="AQ45" s="3">
        <f t="shared" si="201"/>
        <v>0</v>
      </c>
      <c r="AR45" s="3">
        <f t="shared" si="201"/>
        <v>0</v>
      </c>
      <c r="AS45" s="3">
        <f t="shared" si="201"/>
        <v>0</v>
      </c>
      <c r="AU45" s="3">
        <f t="shared" ref="AU45:BF45" si="202">IF(AND(AU$5&gt;=$C45,AU$5&lt;=$D45),$E45,0)</f>
        <v>0</v>
      </c>
      <c r="AV45" s="3">
        <f t="shared" si="202"/>
        <v>0</v>
      </c>
      <c r="AW45" s="3">
        <f t="shared" si="202"/>
        <v>0</v>
      </c>
      <c r="AX45" s="3">
        <f t="shared" si="202"/>
        <v>0</v>
      </c>
      <c r="AY45" s="3">
        <f t="shared" si="202"/>
        <v>0</v>
      </c>
      <c r="AZ45" s="3">
        <f t="shared" si="202"/>
        <v>0</v>
      </c>
      <c r="BA45" s="3">
        <f t="shared" si="202"/>
        <v>0</v>
      </c>
      <c r="BB45" s="3">
        <f t="shared" si="202"/>
        <v>0</v>
      </c>
      <c r="BC45" s="3">
        <f t="shared" si="202"/>
        <v>0</v>
      </c>
      <c r="BD45" s="3">
        <f t="shared" si="202"/>
        <v>0</v>
      </c>
      <c r="BE45" s="3">
        <f t="shared" si="202"/>
        <v>0</v>
      </c>
      <c r="BF45" s="3">
        <f t="shared" si="202"/>
        <v>0</v>
      </c>
      <c r="BG45" s="2"/>
      <c r="BH45" s="3">
        <f t="shared" ref="BH45:BS45" si="203">IF(AND(BH$5&gt;=$C45,BH$5&lt;=$D45),$E45,0)</f>
        <v>0</v>
      </c>
      <c r="BI45" s="3">
        <f t="shared" si="203"/>
        <v>0</v>
      </c>
      <c r="BJ45" s="3">
        <f t="shared" si="203"/>
        <v>0</v>
      </c>
      <c r="BK45" s="3">
        <f t="shared" si="203"/>
        <v>0</v>
      </c>
      <c r="BL45" s="3">
        <f t="shared" si="203"/>
        <v>0</v>
      </c>
      <c r="BM45" s="3">
        <f t="shared" si="203"/>
        <v>0</v>
      </c>
      <c r="BN45" s="3">
        <f t="shared" si="203"/>
        <v>0</v>
      </c>
      <c r="BO45" s="3">
        <f t="shared" si="203"/>
        <v>0</v>
      </c>
      <c r="BP45" s="3">
        <f t="shared" si="203"/>
        <v>0</v>
      </c>
      <c r="BQ45" s="3">
        <f t="shared" si="203"/>
        <v>0</v>
      </c>
      <c r="BR45" s="3">
        <f t="shared" si="203"/>
        <v>0</v>
      </c>
      <c r="BS45" s="3">
        <f t="shared" si="203"/>
        <v>0</v>
      </c>
      <c r="BT45" s="2"/>
    </row>
    <row r="46" spans="1:72" ht="15.75" customHeight="1">
      <c r="A46" s="54" t="str">
        <f>IF('Capital purchases'!C50="","",'Capital purchases'!C50)</f>
        <v/>
      </c>
      <c r="B46" s="2"/>
      <c r="C46" s="2" t="str">
        <f>IF($A46="","",'Capital purchases'!B50)</f>
        <v/>
      </c>
      <c r="D46" s="3" t="str">
        <f>IF($A46="","",'Capital purchases'!J50)</f>
        <v/>
      </c>
      <c r="E46" s="161" t="str">
        <f>IF($A46="","",'Capital purchases'!I50)</f>
        <v/>
      </c>
      <c r="H46" s="3">
        <f t="shared" ref="H46:S46" si="204">IF(AND(H$5&gt;=$C46,H$5&lt;=$D46),$E46,0)</f>
        <v>0</v>
      </c>
      <c r="I46" s="3">
        <f t="shared" si="204"/>
        <v>0</v>
      </c>
      <c r="J46" s="3">
        <f t="shared" si="204"/>
        <v>0</v>
      </c>
      <c r="K46" s="3">
        <f t="shared" si="204"/>
        <v>0</v>
      </c>
      <c r="L46" s="3">
        <f t="shared" si="204"/>
        <v>0</v>
      </c>
      <c r="M46" s="3">
        <f t="shared" si="204"/>
        <v>0</v>
      </c>
      <c r="N46" s="3">
        <f t="shared" si="204"/>
        <v>0</v>
      </c>
      <c r="O46" s="3">
        <f t="shared" si="204"/>
        <v>0</v>
      </c>
      <c r="P46" s="3">
        <f t="shared" si="204"/>
        <v>0</v>
      </c>
      <c r="Q46" s="3">
        <f t="shared" si="204"/>
        <v>0</v>
      </c>
      <c r="R46" s="3">
        <f t="shared" si="204"/>
        <v>0</v>
      </c>
      <c r="S46" s="3">
        <f t="shared" si="204"/>
        <v>0</v>
      </c>
      <c r="U46" s="3">
        <f t="shared" ref="U46:AF46" si="205">IF(AND(U$5&gt;=$C46,U$5&lt;=$D46),$E46,0)</f>
        <v>0</v>
      </c>
      <c r="V46" s="3">
        <f t="shared" si="205"/>
        <v>0</v>
      </c>
      <c r="W46" s="3">
        <f t="shared" si="205"/>
        <v>0</v>
      </c>
      <c r="X46" s="3">
        <f t="shared" si="205"/>
        <v>0</v>
      </c>
      <c r="Y46" s="3">
        <f t="shared" si="205"/>
        <v>0</v>
      </c>
      <c r="Z46" s="3">
        <f t="shared" si="205"/>
        <v>0</v>
      </c>
      <c r="AA46" s="3">
        <f t="shared" si="205"/>
        <v>0</v>
      </c>
      <c r="AB46" s="3">
        <f t="shared" si="205"/>
        <v>0</v>
      </c>
      <c r="AC46" s="3">
        <f t="shared" si="205"/>
        <v>0</v>
      </c>
      <c r="AD46" s="3">
        <f t="shared" si="205"/>
        <v>0</v>
      </c>
      <c r="AE46" s="3">
        <f t="shared" si="205"/>
        <v>0</v>
      </c>
      <c r="AF46" s="3">
        <f t="shared" si="205"/>
        <v>0</v>
      </c>
      <c r="AH46" s="3">
        <f t="shared" ref="AH46:AS46" si="206">IF(AND(AH$5&gt;=$C46,AH$5&lt;=$D46),$E46,0)</f>
        <v>0</v>
      </c>
      <c r="AI46" s="3">
        <f t="shared" si="206"/>
        <v>0</v>
      </c>
      <c r="AJ46" s="3">
        <f t="shared" si="206"/>
        <v>0</v>
      </c>
      <c r="AK46" s="3">
        <f t="shared" si="206"/>
        <v>0</v>
      </c>
      <c r="AL46" s="3">
        <f t="shared" si="206"/>
        <v>0</v>
      </c>
      <c r="AM46" s="3">
        <f t="shared" si="206"/>
        <v>0</v>
      </c>
      <c r="AN46" s="3">
        <f t="shared" si="206"/>
        <v>0</v>
      </c>
      <c r="AO46" s="3">
        <f t="shared" si="206"/>
        <v>0</v>
      </c>
      <c r="AP46" s="3">
        <f t="shared" si="206"/>
        <v>0</v>
      </c>
      <c r="AQ46" s="3">
        <f t="shared" si="206"/>
        <v>0</v>
      </c>
      <c r="AR46" s="3">
        <f t="shared" si="206"/>
        <v>0</v>
      </c>
      <c r="AS46" s="3">
        <f t="shared" si="206"/>
        <v>0</v>
      </c>
      <c r="AU46" s="3">
        <f t="shared" ref="AU46:BF46" si="207">IF(AND(AU$5&gt;=$C46,AU$5&lt;=$D46),$E46,0)</f>
        <v>0</v>
      </c>
      <c r="AV46" s="3">
        <f t="shared" si="207"/>
        <v>0</v>
      </c>
      <c r="AW46" s="3">
        <f t="shared" si="207"/>
        <v>0</v>
      </c>
      <c r="AX46" s="3">
        <f t="shared" si="207"/>
        <v>0</v>
      </c>
      <c r="AY46" s="3">
        <f t="shared" si="207"/>
        <v>0</v>
      </c>
      <c r="AZ46" s="3">
        <f t="shared" si="207"/>
        <v>0</v>
      </c>
      <c r="BA46" s="3">
        <f t="shared" si="207"/>
        <v>0</v>
      </c>
      <c r="BB46" s="3">
        <f t="shared" si="207"/>
        <v>0</v>
      </c>
      <c r="BC46" s="3">
        <f t="shared" si="207"/>
        <v>0</v>
      </c>
      <c r="BD46" s="3">
        <f t="shared" si="207"/>
        <v>0</v>
      </c>
      <c r="BE46" s="3">
        <f t="shared" si="207"/>
        <v>0</v>
      </c>
      <c r="BF46" s="3">
        <f t="shared" si="207"/>
        <v>0</v>
      </c>
      <c r="BG46" s="2"/>
      <c r="BH46" s="3">
        <f t="shared" ref="BH46:BS46" si="208">IF(AND(BH$5&gt;=$C46,BH$5&lt;=$D46),$E46,0)</f>
        <v>0</v>
      </c>
      <c r="BI46" s="3">
        <f t="shared" si="208"/>
        <v>0</v>
      </c>
      <c r="BJ46" s="3">
        <f t="shared" si="208"/>
        <v>0</v>
      </c>
      <c r="BK46" s="3">
        <f t="shared" si="208"/>
        <v>0</v>
      </c>
      <c r="BL46" s="3">
        <f t="shared" si="208"/>
        <v>0</v>
      </c>
      <c r="BM46" s="3">
        <f t="shared" si="208"/>
        <v>0</v>
      </c>
      <c r="BN46" s="3">
        <f t="shared" si="208"/>
        <v>0</v>
      </c>
      <c r="BO46" s="3">
        <f t="shared" si="208"/>
        <v>0</v>
      </c>
      <c r="BP46" s="3">
        <f t="shared" si="208"/>
        <v>0</v>
      </c>
      <c r="BQ46" s="3">
        <f t="shared" si="208"/>
        <v>0</v>
      </c>
      <c r="BR46" s="3">
        <f t="shared" si="208"/>
        <v>0</v>
      </c>
      <c r="BS46" s="3">
        <f t="shared" si="208"/>
        <v>0</v>
      </c>
      <c r="BT46" s="2"/>
    </row>
    <row r="47" spans="1:72" ht="15.75" customHeight="1">
      <c r="A47" s="54" t="str">
        <f>IF('Capital purchases'!C51="","",'Capital purchases'!C51)</f>
        <v/>
      </c>
      <c r="B47" s="2"/>
      <c r="C47" s="2" t="str">
        <f>IF($A47="","",'Capital purchases'!B51)</f>
        <v/>
      </c>
      <c r="D47" s="3" t="str">
        <f>IF($A47="","",'Capital purchases'!J51)</f>
        <v/>
      </c>
      <c r="E47" s="161" t="str">
        <f>IF($A47="","",'Capital purchases'!I51)</f>
        <v/>
      </c>
      <c r="H47" s="3">
        <f t="shared" ref="H47:S47" si="209">IF(AND(H$5&gt;=$C47,H$5&lt;=$D47),$E47,0)</f>
        <v>0</v>
      </c>
      <c r="I47" s="3">
        <f t="shared" si="209"/>
        <v>0</v>
      </c>
      <c r="J47" s="3">
        <f t="shared" si="209"/>
        <v>0</v>
      </c>
      <c r="K47" s="3">
        <f t="shared" si="209"/>
        <v>0</v>
      </c>
      <c r="L47" s="3">
        <f t="shared" si="209"/>
        <v>0</v>
      </c>
      <c r="M47" s="3">
        <f t="shared" si="209"/>
        <v>0</v>
      </c>
      <c r="N47" s="3">
        <f t="shared" si="209"/>
        <v>0</v>
      </c>
      <c r="O47" s="3">
        <f t="shared" si="209"/>
        <v>0</v>
      </c>
      <c r="P47" s="3">
        <f t="shared" si="209"/>
        <v>0</v>
      </c>
      <c r="Q47" s="3">
        <f t="shared" si="209"/>
        <v>0</v>
      </c>
      <c r="R47" s="3">
        <f t="shared" si="209"/>
        <v>0</v>
      </c>
      <c r="S47" s="3">
        <f t="shared" si="209"/>
        <v>0</v>
      </c>
      <c r="U47" s="3">
        <f t="shared" ref="U47:AF47" si="210">IF(AND(U$5&gt;=$C47,U$5&lt;=$D47),$E47,0)</f>
        <v>0</v>
      </c>
      <c r="V47" s="3">
        <f t="shared" si="210"/>
        <v>0</v>
      </c>
      <c r="W47" s="3">
        <f t="shared" si="210"/>
        <v>0</v>
      </c>
      <c r="X47" s="3">
        <f t="shared" si="210"/>
        <v>0</v>
      </c>
      <c r="Y47" s="3">
        <f t="shared" si="210"/>
        <v>0</v>
      </c>
      <c r="Z47" s="3">
        <f t="shared" si="210"/>
        <v>0</v>
      </c>
      <c r="AA47" s="3">
        <f t="shared" si="210"/>
        <v>0</v>
      </c>
      <c r="AB47" s="3">
        <f t="shared" si="210"/>
        <v>0</v>
      </c>
      <c r="AC47" s="3">
        <f t="shared" si="210"/>
        <v>0</v>
      </c>
      <c r="AD47" s="3">
        <f t="shared" si="210"/>
        <v>0</v>
      </c>
      <c r="AE47" s="3">
        <f t="shared" si="210"/>
        <v>0</v>
      </c>
      <c r="AF47" s="3">
        <f t="shared" si="210"/>
        <v>0</v>
      </c>
      <c r="AH47" s="3">
        <f t="shared" ref="AH47:AS47" si="211">IF(AND(AH$5&gt;=$C47,AH$5&lt;=$D47),$E47,0)</f>
        <v>0</v>
      </c>
      <c r="AI47" s="3">
        <f t="shared" si="211"/>
        <v>0</v>
      </c>
      <c r="AJ47" s="3">
        <f t="shared" si="211"/>
        <v>0</v>
      </c>
      <c r="AK47" s="3">
        <f t="shared" si="211"/>
        <v>0</v>
      </c>
      <c r="AL47" s="3">
        <f t="shared" si="211"/>
        <v>0</v>
      </c>
      <c r="AM47" s="3">
        <f t="shared" si="211"/>
        <v>0</v>
      </c>
      <c r="AN47" s="3">
        <f t="shared" si="211"/>
        <v>0</v>
      </c>
      <c r="AO47" s="3">
        <f t="shared" si="211"/>
        <v>0</v>
      </c>
      <c r="AP47" s="3">
        <f t="shared" si="211"/>
        <v>0</v>
      </c>
      <c r="AQ47" s="3">
        <f t="shared" si="211"/>
        <v>0</v>
      </c>
      <c r="AR47" s="3">
        <f t="shared" si="211"/>
        <v>0</v>
      </c>
      <c r="AS47" s="3">
        <f t="shared" si="211"/>
        <v>0</v>
      </c>
      <c r="AU47" s="3">
        <f t="shared" ref="AU47:BF47" si="212">IF(AND(AU$5&gt;=$C47,AU$5&lt;=$D47),$E47,0)</f>
        <v>0</v>
      </c>
      <c r="AV47" s="3">
        <f t="shared" si="212"/>
        <v>0</v>
      </c>
      <c r="AW47" s="3">
        <f t="shared" si="212"/>
        <v>0</v>
      </c>
      <c r="AX47" s="3">
        <f t="shared" si="212"/>
        <v>0</v>
      </c>
      <c r="AY47" s="3">
        <f t="shared" si="212"/>
        <v>0</v>
      </c>
      <c r="AZ47" s="3">
        <f t="shared" si="212"/>
        <v>0</v>
      </c>
      <c r="BA47" s="3">
        <f t="shared" si="212"/>
        <v>0</v>
      </c>
      <c r="BB47" s="3">
        <f t="shared" si="212"/>
        <v>0</v>
      </c>
      <c r="BC47" s="3">
        <f t="shared" si="212"/>
        <v>0</v>
      </c>
      <c r="BD47" s="3">
        <f t="shared" si="212"/>
        <v>0</v>
      </c>
      <c r="BE47" s="3">
        <f t="shared" si="212"/>
        <v>0</v>
      </c>
      <c r="BF47" s="3">
        <f t="shared" si="212"/>
        <v>0</v>
      </c>
      <c r="BG47" s="2"/>
      <c r="BH47" s="3">
        <f t="shared" ref="BH47:BS47" si="213">IF(AND(BH$5&gt;=$C47,BH$5&lt;=$D47),$E47,0)</f>
        <v>0</v>
      </c>
      <c r="BI47" s="3">
        <f t="shared" si="213"/>
        <v>0</v>
      </c>
      <c r="BJ47" s="3">
        <f t="shared" si="213"/>
        <v>0</v>
      </c>
      <c r="BK47" s="3">
        <f t="shared" si="213"/>
        <v>0</v>
      </c>
      <c r="BL47" s="3">
        <f t="shared" si="213"/>
        <v>0</v>
      </c>
      <c r="BM47" s="3">
        <f t="shared" si="213"/>
        <v>0</v>
      </c>
      <c r="BN47" s="3">
        <f t="shared" si="213"/>
        <v>0</v>
      </c>
      <c r="BO47" s="3">
        <f t="shared" si="213"/>
        <v>0</v>
      </c>
      <c r="BP47" s="3">
        <f t="shared" si="213"/>
        <v>0</v>
      </c>
      <c r="BQ47" s="3">
        <f t="shared" si="213"/>
        <v>0</v>
      </c>
      <c r="BR47" s="3">
        <f t="shared" si="213"/>
        <v>0</v>
      </c>
      <c r="BS47" s="3">
        <f t="shared" si="213"/>
        <v>0</v>
      </c>
      <c r="BT47" s="2"/>
    </row>
    <row r="48" spans="1:72" ht="15.75" customHeight="1">
      <c r="A48" s="54" t="str">
        <f>IF('Capital purchases'!C52="","",'Capital purchases'!C52)</f>
        <v/>
      </c>
      <c r="B48" s="2"/>
      <c r="C48" s="2" t="str">
        <f>IF($A48="","",'Capital purchases'!B52)</f>
        <v/>
      </c>
      <c r="D48" s="3" t="str">
        <f>IF($A48="","",'Capital purchases'!J52)</f>
        <v/>
      </c>
      <c r="E48" s="161" t="str">
        <f>IF($A48="","",'Capital purchases'!I52)</f>
        <v/>
      </c>
      <c r="H48" s="3">
        <f t="shared" ref="H48:S48" si="214">IF(AND(H$5&gt;=$C48,H$5&lt;=$D48),$E48,0)</f>
        <v>0</v>
      </c>
      <c r="I48" s="3">
        <f t="shared" si="214"/>
        <v>0</v>
      </c>
      <c r="J48" s="3">
        <f t="shared" si="214"/>
        <v>0</v>
      </c>
      <c r="K48" s="3">
        <f t="shared" si="214"/>
        <v>0</v>
      </c>
      <c r="L48" s="3">
        <f t="shared" si="214"/>
        <v>0</v>
      </c>
      <c r="M48" s="3">
        <f t="shared" si="214"/>
        <v>0</v>
      </c>
      <c r="N48" s="3">
        <f t="shared" si="214"/>
        <v>0</v>
      </c>
      <c r="O48" s="3">
        <f t="shared" si="214"/>
        <v>0</v>
      </c>
      <c r="P48" s="3">
        <f t="shared" si="214"/>
        <v>0</v>
      </c>
      <c r="Q48" s="3">
        <f t="shared" si="214"/>
        <v>0</v>
      </c>
      <c r="R48" s="3">
        <f t="shared" si="214"/>
        <v>0</v>
      </c>
      <c r="S48" s="3">
        <f t="shared" si="214"/>
        <v>0</v>
      </c>
      <c r="U48" s="3">
        <f t="shared" ref="U48:AF48" si="215">IF(AND(U$5&gt;=$C48,U$5&lt;=$D48),$E48,0)</f>
        <v>0</v>
      </c>
      <c r="V48" s="3">
        <f t="shared" si="215"/>
        <v>0</v>
      </c>
      <c r="W48" s="3">
        <f t="shared" si="215"/>
        <v>0</v>
      </c>
      <c r="X48" s="3">
        <f t="shared" si="215"/>
        <v>0</v>
      </c>
      <c r="Y48" s="3">
        <f t="shared" si="215"/>
        <v>0</v>
      </c>
      <c r="Z48" s="3">
        <f t="shared" si="215"/>
        <v>0</v>
      </c>
      <c r="AA48" s="3">
        <f t="shared" si="215"/>
        <v>0</v>
      </c>
      <c r="AB48" s="3">
        <f t="shared" si="215"/>
        <v>0</v>
      </c>
      <c r="AC48" s="3">
        <f t="shared" si="215"/>
        <v>0</v>
      </c>
      <c r="AD48" s="3">
        <f t="shared" si="215"/>
        <v>0</v>
      </c>
      <c r="AE48" s="3">
        <f t="shared" si="215"/>
        <v>0</v>
      </c>
      <c r="AF48" s="3">
        <f t="shared" si="215"/>
        <v>0</v>
      </c>
      <c r="AH48" s="3">
        <f t="shared" ref="AH48:AS48" si="216">IF(AND(AH$5&gt;=$C48,AH$5&lt;=$D48),$E48,0)</f>
        <v>0</v>
      </c>
      <c r="AI48" s="3">
        <f t="shared" si="216"/>
        <v>0</v>
      </c>
      <c r="AJ48" s="3">
        <f t="shared" si="216"/>
        <v>0</v>
      </c>
      <c r="AK48" s="3">
        <f t="shared" si="216"/>
        <v>0</v>
      </c>
      <c r="AL48" s="3">
        <f t="shared" si="216"/>
        <v>0</v>
      </c>
      <c r="AM48" s="3">
        <f t="shared" si="216"/>
        <v>0</v>
      </c>
      <c r="AN48" s="3">
        <f t="shared" si="216"/>
        <v>0</v>
      </c>
      <c r="AO48" s="3">
        <f t="shared" si="216"/>
        <v>0</v>
      </c>
      <c r="AP48" s="3">
        <f t="shared" si="216"/>
        <v>0</v>
      </c>
      <c r="AQ48" s="3">
        <f t="shared" si="216"/>
        <v>0</v>
      </c>
      <c r="AR48" s="3">
        <f t="shared" si="216"/>
        <v>0</v>
      </c>
      <c r="AS48" s="3">
        <f t="shared" si="216"/>
        <v>0</v>
      </c>
      <c r="AU48" s="3">
        <f t="shared" ref="AU48:BF48" si="217">IF(AND(AU$5&gt;=$C48,AU$5&lt;=$D48),$E48,0)</f>
        <v>0</v>
      </c>
      <c r="AV48" s="3">
        <f t="shared" si="217"/>
        <v>0</v>
      </c>
      <c r="AW48" s="3">
        <f t="shared" si="217"/>
        <v>0</v>
      </c>
      <c r="AX48" s="3">
        <f t="shared" si="217"/>
        <v>0</v>
      </c>
      <c r="AY48" s="3">
        <f t="shared" si="217"/>
        <v>0</v>
      </c>
      <c r="AZ48" s="3">
        <f t="shared" si="217"/>
        <v>0</v>
      </c>
      <c r="BA48" s="3">
        <f t="shared" si="217"/>
        <v>0</v>
      </c>
      <c r="BB48" s="3">
        <f t="shared" si="217"/>
        <v>0</v>
      </c>
      <c r="BC48" s="3">
        <f t="shared" si="217"/>
        <v>0</v>
      </c>
      <c r="BD48" s="3">
        <f t="shared" si="217"/>
        <v>0</v>
      </c>
      <c r="BE48" s="3">
        <f t="shared" si="217"/>
        <v>0</v>
      </c>
      <c r="BF48" s="3">
        <f t="shared" si="217"/>
        <v>0</v>
      </c>
      <c r="BG48" s="2"/>
      <c r="BH48" s="3">
        <f t="shared" ref="BH48:BS48" si="218">IF(AND(BH$5&gt;=$C48,BH$5&lt;=$D48),$E48,0)</f>
        <v>0</v>
      </c>
      <c r="BI48" s="3">
        <f t="shared" si="218"/>
        <v>0</v>
      </c>
      <c r="BJ48" s="3">
        <f t="shared" si="218"/>
        <v>0</v>
      </c>
      <c r="BK48" s="3">
        <f t="shared" si="218"/>
        <v>0</v>
      </c>
      <c r="BL48" s="3">
        <f t="shared" si="218"/>
        <v>0</v>
      </c>
      <c r="BM48" s="3">
        <f t="shared" si="218"/>
        <v>0</v>
      </c>
      <c r="BN48" s="3">
        <f t="shared" si="218"/>
        <v>0</v>
      </c>
      <c r="BO48" s="3">
        <f t="shared" si="218"/>
        <v>0</v>
      </c>
      <c r="BP48" s="3">
        <f t="shared" si="218"/>
        <v>0</v>
      </c>
      <c r="BQ48" s="3">
        <f t="shared" si="218"/>
        <v>0</v>
      </c>
      <c r="BR48" s="3">
        <f t="shared" si="218"/>
        <v>0</v>
      </c>
      <c r="BS48" s="3">
        <f t="shared" si="218"/>
        <v>0</v>
      </c>
      <c r="BT48" s="2"/>
    </row>
    <row r="49" spans="1:72" ht="15.75" customHeight="1">
      <c r="A49" s="54" t="str">
        <f>IF('Capital purchases'!C53="","",'Capital purchases'!C53)</f>
        <v/>
      </c>
      <c r="B49" s="2"/>
      <c r="C49" s="2" t="str">
        <f>IF($A49="","",'Capital purchases'!B53)</f>
        <v/>
      </c>
      <c r="D49" s="3" t="str">
        <f>IF($A49="","",'Capital purchases'!J53)</f>
        <v/>
      </c>
      <c r="E49" s="161" t="str">
        <f>IF($A49="","",'Capital purchases'!I53)</f>
        <v/>
      </c>
      <c r="H49" s="3">
        <f t="shared" ref="H49:S49" si="219">IF(AND(H$5&gt;=$C49,H$5&lt;=$D49),$E49,0)</f>
        <v>0</v>
      </c>
      <c r="I49" s="3">
        <f t="shared" si="219"/>
        <v>0</v>
      </c>
      <c r="J49" s="3">
        <f t="shared" si="219"/>
        <v>0</v>
      </c>
      <c r="K49" s="3">
        <f t="shared" si="219"/>
        <v>0</v>
      </c>
      <c r="L49" s="3">
        <f t="shared" si="219"/>
        <v>0</v>
      </c>
      <c r="M49" s="3">
        <f t="shared" si="219"/>
        <v>0</v>
      </c>
      <c r="N49" s="3">
        <f t="shared" si="219"/>
        <v>0</v>
      </c>
      <c r="O49" s="3">
        <f t="shared" si="219"/>
        <v>0</v>
      </c>
      <c r="P49" s="3">
        <f t="shared" si="219"/>
        <v>0</v>
      </c>
      <c r="Q49" s="3">
        <f t="shared" si="219"/>
        <v>0</v>
      </c>
      <c r="R49" s="3">
        <f t="shared" si="219"/>
        <v>0</v>
      </c>
      <c r="S49" s="3">
        <f t="shared" si="219"/>
        <v>0</v>
      </c>
      <c r="U49" s="3">
        <f t="shared" ref="U49:AF49" si="220">IF(AND(U$5&gt;=$C49,U$5&lt;=$D49),$E49,0)</f>
        <v>0</v>
      </c>
      <c r="V49" s="3">
        <f t="shared" si="220"/>
        <v>0</v>
      </c>
      <c r="W49" s="3">
        <f t="shared" si="220"/>
        <v>0</v>
      </c>
      <c r="X49" s="3">
        <f t="shared" si="220"/>
        <v>0</v>
      </c>
      <c r="Y49" s="3">
        <f t="shared" si="220"/>
        <v>0</v>
      </c>
      <c r="Z49" s="3">
        <f t="shared" si="220"/>
        <v>0</v>
      </c>
      <c r="AA49" s="3">
        <f t="shared" si="220"/>
        <v>0</v>
      </c>
      <c r="AB49" s="3">
        <f t="shared" si="220"/>
        <v>0</v>
      </c>
      <c r="AC49" s="3">
        <f t="shared" si="220"/>
        <v>0</v>
      </c>
      <c r="AD49" s="3">
        <f t="shared" si="220"/>
        <v>0</v>
      </c>
      <c r="AE49" s="3">
        <f t="shared" si="220"/>
        <v>0</v>
      </c>
      <c r="AF49" s="3">
        <f t="shared" si="220"/>
        <v>0</v>
      </c>
      <c r="AH49" s="3">
        <f t="shared" ref="AH49:AS49" si="221">IF(AND(AH$5&gt;=$C49,AH$5&lt;=$D49),$E49,0)</f>
        <v>0</v>
      </c>
      <c r="AI49" s="3">
        <f t="shared" si="221"/>
        <v>0</v>
      </c>
      <c r="AJ49" s="3">
        <f t="shared" si="221"/>
        <v>0</v>
      </c>
      <c r="AK49" s="3">
        <f t="shared" si="221"/>
        <v>0</v>
      </c>
      <c r="AL49" s="3">
        <f t="shared" si="221"/>
        <v>0</v>
      </c>
      <c r="AM49" s="3">
        <f t="shared" si="221"/>
        <v>0</v>
      </c>
      <c r="AN49" s="3">
        <f t="shared" si="221"/>
        <v>0</v>
      </c>
      <c r="AO49" s="3">
        <f t="shared" si="221"/>
        <v>0</v>
      </c>
      <c r="AP49" s="3">
        <f t="shared" si="221"/>
        <v>0</v>
      </c>
      <c r="AQ49" s="3">
        <f t="shared" si="221"/>
        <v>0</v>
      </c>
      <c r="AR49" s="3">
        <f t="shared" si="221"/>
        <v>0</v>
      </c>
      <c r="AS49" s="3">
        <f t="shared" si="221"/>
        <v>0</v>
      </c>
      <c r="AU49" s="3">
        <f t="shared" ref="AU49:BF49" si="222">IF(AND(AU$5&gt;=$C49,AU$5&lt;=$D49),$E49,0)</f>
        <v>0</v>
      </c>
      <c r="AV49" s="3">
        <f t="shared" si="222"/>
        <v>0</v>
      </c>
      <c r="AW49" s="3">
        <f t="shared" si="222"/>
        <v>0</v>
      </c>
      <c r="AX49" s="3">
        <f t="shared" si="222"/>
        <v>0</v>
      </c>
      <c r="AY49" s="3">
        <f t="shared" si="222"/>
        <v>0</v>
      </c>
      <c r="AZ49" s="3">
        <f t="shared" si="222"/>
        <v>0</v>
      </c>
      <c r="BA49" s="3">
        <f t="shared" si="222"/>
        <v>0</v>
      </c>
      <c r="BB49" s="3">
        <f t="shared" si="222"/>
        <v>0</v>
      </c>
      <c r="BC49" s="3">
        <f t="shared" si="222"/>
        <v>0</v>
      </c>
      <c r="BD49" s="3">
        <f t="shared" si="222"/>
        <v>0</v>
      </c>
      <c r="BE49" s="3">
        <f t="shared" si="222"/>
        <v>0</v>
      </c>
      <c r="BF49" s="3">
        <f t="shared" si="222"/>
        <v>0</v>
      </c>
      <c r="BG49" s="2"/>
      <c r="BH49" s="3">
        <f t="shared" ref="BH49:BS49" si="223">IF(AND(BH$5&gt;=$C49,BH$5&lt;=$D49),$E49,0)</f>
        <v>0</v>
      </c>
      <c r="BI49" s="3">
        <f t="shared" si="223"/>
        <v>0</v>
      </c>
      <c r="BJ49" s="3">
        <f t="shared" si="223"/>
        <v>0</v>
      </c>
      <c r="BK49" s="3">
        <f t="shared" si="223"/>
        <v>0</v>
      </c>
      <c r="BL49" s="3">
        <f t="shared" si="223"/>
        <v>0</v>
      </c>
      <c r="BM49" s="3">
        <f t="shared" si="223"/>
        <v>0</v>
      </c>
      <c r="BN49" s="3">
        <f t="shared" si="223"/>
        <v>0</v>
      </c>
      <c r="BO49" s="3">
        <f t="shared" si="223"/>
        <v>0</v>
      </c>
      <c r="BP49" s="3">
        <f t="shared" si="223"/>
        <v>0</v>
      </c>
      <c r="BQ49" s="3">
        <f t="shared" si="223"/>
        <v>0</v>
      </c>
      <c r="BR49" s="3">
        <f t="shared" si="223"/>
        <v>0</v>
      </c>
      <c r="BS49" s="3">
        <f t="shared" si="223"/>
        <v>0</v>
      </c>
      <c r="BT49" s="2"/>
    </row>
    <row r="50" spans="1:72" ht="15.75" customHeight="1">
      <c r="A50" s="54" t="str">
        <f>IF('Capital purchases'!C54="","",'Capital purchases'!C54)</f>
        <v/>
      </c>
      <c r="B50" s="2"/>
      <c r="C50" s="2" t="str">
        <f>IF($A50="","",'Capital purchases'!B54)</f>
        <v/>
      </c>
      <c r="D50" s="3" t="str">
        <f>IF($A50="","",'Capital purchases'!J54)</f>
        <v/>
      </c>
      <c r="E50" s="161" t="str">
        <f>IF($A50="","",'Capital purchases'!I54)</f>
        <v/>
      </c>
      <c r="H50" s="3">
        <f t="shared" ref="H50:S50" si="224">IF(AND(H$5&gt;=$C50,H$5&lt;=$D50),$E50,0)</f>
        <v>0</v>
      </c>
      <c r="I50" s="3">
        <f t="shared" si="224"/>
        <v>0</v>
      </c>
      <c r="J50" s="3">
        <f t="shared" si="224"/>
        <v>0</v>
      </c>
      <c r="K50" s="3">
        <f t="shared" si="224"/>
        <v>0</v>
      </c>
      <c r="L50" s="3">
        <f t="shared" si="224"/>
        <v>0</v>
      </c>
      <c r="M50" s="3">
        <f t="shared" si="224"/>
        <v>0</v>
      </c>
      <c r="N50" s="3">
        <f t="shared" si="224"/>
        <v>0</v>
      </c>
      <c r="O50" s="3">
        <f t="shared" si="224"/>
        <v>0</v>
      </c>
      <c r="P50" s="3">
        <f t="shared" si="224"/>
        <v>0</v>
      </c>
      <c r="Q50" s="3">
        <f t="shared" si="224"/>
        <v>0</v>
      </c>
      <c r="R50" s="3">
        <f t="shared" si="224"/>
        <v>0</v>
      </c>
      <c r="S50" s="3">
        <f t="shared" si="224"/>
        <v>0</v>
      </c>
      <c r="U50" s="3">
        <f t="shared" ref="U50:AF50" si="225">IF(AND(U$5&gt;=$C50,U$5&lt;=$D50),$E50,0)</f>
        <v>0</v>
      </c>
      <c r="V50" s="3">
        <f t="shared" si="225"/>
        <v>0</v>
      </c>
      <c r="W50" s="3">
        <f t="shared" si="225"/>
        <v>0</v>
      </c>
      <c r="X50" s="3">
        <f t="shared" si="225"/>
        <v>0</v>
      </c>
      <c r="Y50" s="3">
        <f t="shared" si="225"/>
        <v>0</v>
      </c>
      <c r="Z50" s="3">
        <f t="shared" si="225"/>
        <v>0</v>
      </c>
      <c r="AA50" s="3">
        <f t="shared" si="225"/>
        <v>0</v>
      </c>
      <c r="AB50" s="3">
        <f t="shared" si="225"/>
        <v>0</v>
      </c>
      <c r="AC50" s="3">
        <f t="shared" si="225"/>
        <v>0</v>
      </c>
      <c r="AD50" s="3">
        <f t="shared" si="225"/>
        <v>0</v>
      </c>
      <c r="AE50" s="3">
        <f t="shared" si="225"/>
        <v>0</v>
      </c>
      <c r="AF50" s="3">
        <f t="shared" si="225"/>
        <v>0</v>
      </c>
      <c r="AH50" s="3">
        <f t="shared" ref="AH50:AS50" si="226">IF(AND(AH$5&gt;=$C50,AH$5&lt;=$D50),$E50,0)</f>
        <v>0</v>
      </c>
      <c r="AI50" s="3">
        <f t="shared" si="226"/>
        <v>0</v>
      </c>
      <c r="AJ50" s="3">
        <f t="shared" si="226"/>
        <v>0</v>
      </c>
      <c r="AK50" s="3">
        <f t="shared" si="226"/>
        <v>0</v>
      </c>
      <c r="AL50" s="3">
        <f t="shared" si="226"/>
        <v>0</v>
      </c>
      <c r="AM50" s="3">
        <f t="shared" si="226"/>
        <v>0</v>
      </c>
      <c r="AN50" s="3">
        <f t="shared" si="226"/>
        <v>0</v>
      </c>
      <c r="AO50" s="3">
        <f t="shared" si="226"/>
        <v>0</v>
      </c>
      <c r="AP50" s="3">
        <f t="shared" si="226"/>
        <v>0</v>
      </c>
      <c r="AQ50" s="3">
        <f t="shared" si="226"/>
        <v>0</v>
      </c>
      <c r="AR50" s="3">
        <f t="shared" si="226"/>
        <v>0</v>
      </c>
      <c r="AS50" s="3">
        <f t="shared" si="226"/>
        <v>0</v>
      </c>
      <c r="AU50" s="3">
        <f t="shared" ref="AU50:BF50" si="227">IF(AND(AU$5&gt;=$C50,AU$5&lt;=$D50),$E50,0)</f>
        <v>0</v>
      </c>
      <c r="AV50" s="3">
        <f t="shared" si="227"/>
        <v>0</v>
      </c>
      <c r="AW50" s="3">
        <f t="shared" si="227"/>
        <v>0</v>
      </c>
      <c r="AX50" s="3">
        <f t="shared" si="227"/>
        <v>0</v>
      </c>
      <c r="AY50" s="3">
        <f t="shared" si="227"/>
        <v>0</v>
      </c>
      <c r="AZ50" s="3">
        <f t="shared" si="227"/>
        <v>0</v>
      </c>
      <c r="BA50" s="3">
        <f t="shared" si="227"/>
        <v>0</v>
      </c>
      <c r="BB50" s="3">
        <f t="shared" si="227"/>
        <v>0</v>
      </c>
      <c r="BC50" s="3">
        <f t="shared" si="227"/>
        <v>0</v>
      </c>
      <c r="BD50" s="3">
        <f t="shared" si="227"/>
        <v>0</v>
      </c>
      <c r="BE50" s="3">
        <f t="shared" si="227"/>
        <v>0</v>
      </c>
      <c r="BF50" s="3">
        <f t="shared" si="227"/>
        <v>0</v>
      </c>
      <c r="BG50" s="2"/>
      <c r="BH50" s="3">
        <f t="shared" ref="BH50:BS50" si="228">IF(AND(BH$5&gt;=$C50,BH$5&lt;=$D50),$E50,0)</f>
        <v>0</v>
      </c>
      <c r="BI50" s="3">
        <f t="shared" si="228"/>
        <v>0</v>
      </c>
      <c r="BJ50" s="3">
        <f t="shared" si="228"/>
        <v>0</v>
      </c>
      <c r="BK50" s="3">
        <f t="shared" si="228"/>
        <v>0</v>
      </c>
      <c r="BL50" s="3">
        <f t="shared" si="228"/>
        <v>0</v>
      </c>
      <c r="BM50" s="3">
        <f t="shared" si="228"/>
        <v>0</v>
      </c>
      <c r="BN50" s="3">
        <f t="shared" si="228"/>
        <v>0</v>
      </c>
      <c r="BO50" s="3">
        <f t="shared" si="228"/>
        <v>0</v>
      </c>
      <c r="BP50" s="3">
        <f t="shared" si="228"/>
        <v>0</v>
      </c>
      <c r="BQ50" s="3">
        <f t="shared" si="228"/>
        <v>0</v>
      </c>
      <c r="BR50" s="3">
        <f t="shared" si="228"/>
        <v>0</v>
      </c>
      <c r="BS50" s="3">
        <f t="shared" si="228"/>
        <v>0</v>
      </c>
      <c r="BT50" s="2"/>
    </row>
    <row r="51" spans="1:72" ht="15.75" customHeight="1">
      <c r="A51" s="54" t="str">
        <f>IF('Capital purchases'!C55="","",'Capital purchases'!C55)</f>
        <v/>
      </c>
      <c r="B51" s="2"/>
      <c r="C51" s="2" t="str">
        <f>IF($A51="","",'Capital purchases'!B55)</f>
        <v/>
      </c>
      <c r="D51" s="3" t="str">
        <f>IF($A51="","",'Capital purchases'!J55)</f>
        <v/>
      </c>
      <c r="E51" s="161" t="str">
        <f>IF($A51="","",'Capital purchases'!I55)</f>
        <v/>
      </c>
      <c r="H51" s="3">
        <f t="shared" ref="H51:S51" si="229">IF(AND(H$5&gt;=$C51,H$5&lt;=$D51),$E51,0)</f>
        <v>0</v>
      </c>
      <c r="I51" s="3">
        <f t="shared" si="229"/>
        <v>0</v>
      </c>
      <c r="J51" s="3">
        <f t="shared" si="229"/>
        <v>0</v>
      </c>
      <c r="K51" s="3">
        <f t="shared" si="229"/>
        <v>0</v>
      </c>
      <c r="L51" s="3">
        <f t="shared" si="229"/>
        <v>0</v>
      </c>
      <c r="M51" s="3">
        <f t="shared" si="229"/>
        <v>0</v>
      </c>
      <c r="N51" s="3">
        <f t="shared" si="229"/>
        <v>0</v>
      </c>
      <c r="O51" s="3">
        <f t="shared" si="229"/>
        <v>0</v>
      </c>
      <c r="P51" s="3">
        <f t="shared" si="229"/>
        <v>0</v>
      </c>
      <c r="Q51" s="3">
        <f t="shared" si="229"/>
        <v>0</v>
      </c>
      <c r="R51" s="3">
        <f t="shared" si="229"/>
        <v>0</v>
      </c>
      <c r="S51" s="3">
        <f t="shared" si="229"/>
        <v>0</v>
      </c>
      <c r="U51" s="3">
        <f t="shared" ref="U51:AF51" si="230">IF(AND(U$5&gt;=$C51,U$5&lt;=$D51),$E51,0)</f>
        <v>0</v>
      </c>
      <c r="V51" s="3">
        <f t="shared" si="230"/>
        <v>0</v>
      </c>
      <c r="W51" s="3">
        <f t="shared" si="230"/>
        <v>0</v>
      </c>
      <c r="X51" s="3">
        <f t="shared" si="230"/>
        <v>0</v>
      </c>
      <c r="Y51" s="3">
        <f t="shared" si="230"/>
        <v>0</v>
      </c>
      <c r="Z51" s="3">
        <f t="shared" si="230"/>
        <v>0</v>
      </c>
      <c r="AA51" s="3">
        <f t="shared" si="230"/>
        <v>0</v>
      </c>
      <c r="AB51" s="3">
        <f t="shared" si="230"/>
        <v>0</v>
      </c>
      <c r="AC51" s="3">
        <f t="shared" si="230"/>
        <v>0</v>
      </c>
      <c r="AD51" s="3">
        <f t="shared" si="230"/>
        <v>0</v>
      </c>
      <c r="AE51" s="3">
        <f t="shared" si="230"/>
        <v>0</v>
      </c>
      <c r="AF51" s="3">
        <f t="shared" si="230"/>
        <v>0</v>
      </c>
      <c r="AH51" s="3">
        <f t="shared" ref="AH51:AS51" si="231">IF(AND(AH$5&gt;=$C51,AH$5&lt;=$D51),$E51,0)</f>
        <v>0</v>
      </c>
      <c r="AI51" s="3">
        <f t="shared" si="231"/>
        <v>0</v>
      </c>
      <c r="AJ51" s="3">
        <f t="shared" si="231"/>
        <v>0</v>
      </c>
      <c r="AK51" s="3">
        <f t="shared" si="231"/>
        <v>0</v>
      </c>
      <c r="AL51" s="3">
        <f t="shared" si="231"/>
        <v>0</v>
      </c>
      <c r="AM51" s="3">
        <f t="shared" si="231"/>
        <v>0</v>
      </c>
      <c r="AN51" s="3">
        <f t="shared" si="231"/>
        <v>0</v>
      </c>
      <c r="AO51" s="3">
        <f t="shared" si="231"/>
        <v>0</v>
      </c>
      <c r="AP51" s="3">
        <f t="shared" si="231"/>
        <v>0</v>
      </c>
      <c r="AQ51" s="3">
        <f t="shared" si="231"/>
        <v>0</v>
      </c>
      <c r="AR51" s="3">
        <f t="shared" si="231"/>
        <v>0</v>
      </c>
      <c r="AS51" s="3">
        <f t="shared" si="231"/>
        <v>0</v>
      </c>
      <c r="AU51" s="3">
        <f t="shared" ref="AU51:BF51" si="232">IF(AND(AU$5&gt;=$C51,AU$5&lt;=$D51),$E51,0)</f>
        <v>0</v>
      </c>
      <c r="AV51" s="3">
        <f t="shared" si="232"/>
        <v>0</v>
      </c>
      <c r="AW51" s="3">
        <f t="shared" si="232"/>
        <v>0</v>
      </c>
      <c r="AX51" s="3">
        <f t="shared" si="232"/>
        <v>0</v>
      </c>
      <c r="AY51" s="3">
        <f t="shared" si="232"/>
        <v>0</v>
      </c>
      <c r="AZ51" s="3">
        <f t="shared" si="232"/>
        <v>0</v>
      </c>
      <c r="BA51" s="3">
        <f t="shared" si="232"/>
        <v>0</v>
      </c>
      <c r="BB51" s="3">
        <f t="shared" si="232"/>
        <v>0</v>
      </c>
      <c r="BC51" s="3">
        <f t="shared" si="232"/>
        <v>0</v>
      </c>
      <c r="BD51" s="3">
        <f t="shared" si="232"/>
        <v>0</v>
      </c>
      <c r="BE51" s="3">
        <f t="shared" si="232"/>
        <v>0</v>
      </c>
      <c r="BF51" s="3">
        <f t="shared" si="232"/>
        <v>0</v>
      </c>
      <c r="BG51" s="2"/>
      <c r="BH51" s="3">
        <f t="shared" ref="BH51:BS51" si="233">IF(AND(BH$5&gt;=$C51,BH$5&lt;=$D51),$E51,0)</f>
        <v>0</v>
      </c>
      <c r="BI51" s="3">
        <f t="shared" si="233"/>
        <v>0</v>
      </c>
      <c r="BJ51" s="3">
        <f t="shared" si="233"/>
        <v>0</v>
      </c>
      <c r="BK51" s="3">
        <f t="shared" si="233"/>
        <v>0</v>
      </c>
      <c r="BL51" s="3">
        <f t="shared" si="233"/>
        <v>0</v>
      </c>
      <c r="BM51" s="3">
        <f t="shared" si="233"/>
        <v>0</v>
      </c>
      <c r="BN51" s="3">
        <f t="shared" si="233"/>
        <v>0</v>
      </c>
      <c r="BO51" s="3">
        <f t="shared" si="233"/>
        <v>0</v>
      </c>
      <c r="BP51" s="3">
        <f t="shared" si="233"/>
        <v>0</v>
      </c>
      <c r="BQ51" s="3">
        <f t="shared" si="233"/>
        <v>0</v>
      </c>
      <c r="BR51" s="3">
        <f t="shared" si="233"/>
        <v>0</v>
      </c>
      <c r="BS51" s="3">
        <f t="shared" si="233"/>
        <v>0</v>
      </c>
      <c r="BT51" s="2"/>
    </row>
    <row r="52" spans="1:72" ht="15.75" customHeight="1">
      <c r="A52" s="54" t="str">
        <f>IF('Capital purchases'!C56="","",'Capital purchases'!C56)</f>
        <v/>
      </c>
      <c r="B52" s="2"/>
      <c r="C52" s="2" t="str">
        <f>IF($A52="","",'Capital purchases'!B56)</f>
        <v/>
      </c>
      <c r="D52" s="3" t="str">
        <f>IF($A52="","",'Capital purchases'!J56)</f>
        <v/>
      </c>
      <c r="E52" s="161" t="str">
        <f>IF($A52="","",'Capital purchases'!I56)</f>
        <v/>
      </c>
      <c r="H52" s="3">
        <f t="shared" ref="H52:S52" si="234">IF(AND(H$5&gt;=$C52,H$5&lt;=$D52),$E52,0)</f>
        <v>0</v>
      </c>
      <c r="I52" s="3">
        <f t="shared" si="234"/>
        <v>0</v>
      </c>
      <c r="J52" s="3">
        <f t="shared" si="234"/>
        <v>0</v>
      </c>
      <c r="K52" s="3">
        <f t="shared" si="234"/>
        <v>0</v>
      </c>
      <c r="L52" s="3">
        <f t="shared" si="234"/>
        <v>0</v>
      </c>
      <c r="M52" s="3">
        <f t="shared" si="234"/>
        <v>0</v>
      </c>
      <c r="N52" s="3">
        <f t="shared" si="234"/>
        <v>0</v>
      </c>
      <c r="O52" s="3">
        <f t="shared" si="234"/>
        <v>0</v>
      </c>
      <c r="P52" s="3">
        <f t="shared" si="234"/>
        <v>0</v>
      </c>
      <c r="Q52" s="3">
        <f t="shared" si="234"/>
        <v>0</v>
      </c>
      <c r="R52" s="3">
        <f t="shared" si="234"/>
        <v>0</v>
      </c>
      <c r="S52" s="3">
        <f t="shared" si="234"/>
        <v>0</v>
      </c>
      <c r="U52" s="3">
        <f t="shared" ref="U52:AF52" si="235">IF(AND(U$5&gt;=$C52,U$5&lt;=$D52),$E52,0)</f>
        <v>0</v>
      </c>
      <c r="V52" s="3">
        <f t="shared" si="235"/>
        <v>0</v>
      </c>
      <c r="W52" s="3">
        <f t="shared" si="235"/>
        <v>0</v>
      </c>
      <c r="X52" s="3">
        <f t="shared" si="235"/>
        <v>0</v>
      </c>
      <c r="Y52" s="3">
        <f t="shared" si="235"/>
        <v>0</v>
      </c>
      <c r="Z52" s="3">
        <f t="shared" si="235"/>
        <v>0</v>
      </c>
      <c r="AA52" s="3">
        <f t="shared" si="235"/>
        <v>0</v>
      </c>
      <c r="AB52" s="3">
        <f t="shared" si="235"/>
        <v>0</v>
      </c>
      <c r="AC52" s="3">
        <f t="shared" si="235"/>
        <v>0</v>
      </c>
      <c r="AD52" s="3">
        <f t="shared" si="235"/>
        <v>0</v>
      </c>
      <c r="AE52" s="3">
        <f t="shared" si="235"/>
        <v>0</v>
      </c>
      <c r="AF52" s="3">
        <f t="shared" si="235"/>
        <v>0</v>
      </c>
      <c r="AH52" s="3">
        <f t="shared" ref="AH52:AS52" si="236">IF(AND(AH$5&gt;=$C52,AH$5&lt;=$D52),$E52,0)</f>
        <v>0</v>
      </c>
      <c r="AI52" s="3">
        <f t="shared" si="236"/>
        <v>0</v>
      </c>
      <c r="AJ52" s="3">
        <f t="shared" si="236"/>
        <v>0</v>
      </c>
      <c r="AK52" s="3">
        <f t="shared" si="236"/>
        <v>0</v>
      </c>
      <c r="AL52" s="3">
        <f t="shared" si="236"/>
        <v>0</v>
      </c>
      <c r="AM52" s="3">
        <f t="shared" si="236"/>
        <v>0</v>
      </c>
      <c r="AN52" s="3">
        <f t="shared" si="236"/>
        <v>0</v>
      </c>
      <c r="AO52" s="3">
        <f t="shared" si="236"/>
        <v>0</v>
      </c>
      <c r="AP52" s="3">
        <f t="shared" si="236"/>
        <v>0</v>
      </c>
      <c r="AQ52" s="3">
        <f t="shared" si="236"/>
        <v>0</v>
      </c>
      <c r="AR52" s="3">
        <f t="shared" si="236"/>
        <v>0</v>
      </c>
      <c r="AS52" s="3">
        <f t="shared" si="236"/>
        <v>0</v>
      </c>
      <c r="AU52" s="3">
        <f t="shared" ref="AU52:BF52" si="237">IF(AND(AU$5&gt;=$C52,AU$5&lt;=$D52),$E52,0)</f>
        <v>0</v>
      </c>
      <c r="AV52" s="3">
        <f t="shared" si="237"/>
        <v>0</v>
      </c>
      <c r="AW52" s="3">
        <f t="shared" si="237"/>
        <v>0</v>
      </c>
      <c r="AX52" s="3">
        <f t="shared" si="237"/>
        <v>0</v>
      </c>
      <c r="AY52" s="3">
        <f t="shared" si="237"/>
        <v>0</v>
      </c>
      <c r="AZ52" s="3">
        <f t="shared" si="237"/>
        <v>0</v>
      </c>
      <c r="BA52" s="3">
        <f t="shared" si="237"/>
        <v>0</v>
      </c>
      <c r="BB52" s="3">
        <f t="shared" si="237"/>
        <v>0</v>
      </c>
      <c r="BC52" s="3">
        <f t="shared" si="237"/>
        <v>0</v>
      </c>
      <c r="BD52" s="3">
        <f t="shared" si="237"/>
        <v>0</v>
      </c>
      <c r="BE52" s="3">
        <f t="shared" si="237"/>
        <v>0</v>
      </c>
      <c r="BF52" s="3">
        <f t="shared" si="237"/>
        <v>0</v>
      </c>
      <c r="BG52" s="2"/>
      <c r="BH52" s="3">
        <f t="shared" ref="BH52:BS52" si="238">IF(AND(BH$5&gt;=$C52,BH$5&lt;=$D52),$E52,0)</f>
        <v>0</v>
      </c>
      <c r="BI52" s="3">
        <f t="shared" si="238"/>
        <v>0</v>
      </c>
      <c r="BJ52" s="3">
        <f t="shared" si="238"/>
        <v>0</v>
      </c>
      <c r="BK52" s="3">
        <f t="shared" si="238"/>
        <v>0</v>
      </c>
      <c r="BL52" s="3">
        <f t="shared" si="238"/>
        <v>0</v>
      </c>
      <c r="BM52" s="3">
        <f t="shared" si="238"/>
        <v>0</v>
      </c>
      <c r="BN52" s="3">
        <f t="shared" si="238"/>
        <v>0</v>
      </c>
      <c r="BO52" s="3">
        <f t="shared" si="238"/>
        <v>0</v>
      </c>
      <c r="BP52" s="3">
        <f t="shared" si="238"/>
        <v>0</v>
      </c>
      <c r="BQ52" s="3">
        <f t="shared" si="238"/>
        <v>0</v>
      </c>
      <c r="BR52" s="3">
        <f t="shared" si="238"/>
        <v>0</v>
      </c>
      <c r="BS52" s="3">
        <f t="shared" si="238"/>
        <v>0</v>
      </c>
      <c r="BT52" s="2"/>
    </row>
    <row r="53" spans="1:72" ht="15.75" customHeight="1">
      <c r="A53" s="54" t="str">
        <f>IF('Capital purchases'!C57="","",'Capital purchases'!C57)</f>
        <v/>
      </c>
      <c r="B53" s="2"/>
      <c r="C53" s="2" t="str">
        <f>IF($A53="","",'Capital purchases'!B57)</f>
        <v/>
      </c>
      <c r="D53" s="3" t="str">
        <f>IF($A53="","",'Capital purchases'!J57)</f>
        <v/>
      </c>
      <c r="E53" s="161" t="str">
        <f>IF($A53="","",'Capital purchases'!I57)</f>
        <v/>
      </c>
      <c r="H53" s="3">
        <f t="shared" ref="H53:S53" si="239">IF(AND(H$5&gt;=$C53,H$5&lt;=$D53),$E53,0)</f>
        <v>0</v>
      </c>
      <c r="I53" s="3">
        <f t="shared" si="239"/>
        <v>0</v>
      </c>
      <c r="J53" s="3">
        <f t="shared" si="239"/>
        <v>0</v>
      </c>
      <c r="K53" s="3">
        <f t="shared" si="239"/>
        <v>0</v>
      </c>
      <c r="L53" s="3">
        <f t="shared" si="239"/>
        <v>0</v>
      </c>
      <c r="M53" s="3">
        <f t="shared" si="239"/>
        <v>0</v>
      </c>
      <c r="N53" s="3">
        <f t="shared" si="239"/>
        <v>0</v>
      </c>
      <c r="O53" s="3">
        <f t="shared" si="239"/>
        <v>0</v>
      </c>
      <c r="P53" s="3">
        <f t="shared" si="239"/>
        <v>0</v>
      </c>
      <c r="Q53" s="3">
        <f t="shared" si="239"/>
        <v>0</v>
      </c>
      <c r="R53" s="3">
        <f t="shared" si="239"/>
        <v>0</v>
      </c>
      <c r="S53" s="3">
        <f t="shared" si="239"/>
        <v>0</v>
      </c>
      <c r="U53" s="3">
        <f t="shared" ref="U53:AF53" si="240">IF(AND(U$5&gt;=$C53,U$5&lt;=$D53),$E53,0)</f>
        <v>0</v>
      </c>
      <c r="V53" s="3">
        <f t="shared" si="240"/>
        <v>0</v>
      </c>
      <c r="W53" s="3">
        <f t="shared" si="240"/>
        <v>0</v>
      </c>
      <c r="X53" s="3">
        <f t="shared" si="240"/>
        <v>0</v>
      </c>
      <c r="Y53" s="3">
        <f t="shared" si="240"/>
        <v>0</v>
      </c>
      <c r="Z53" s="3">
        <f t="shared" si="240"/>
        <v>0</v>
      </c>
      <c r="AA53" s="3">
        <f t="shared" si="240"/>
        <v>0</v>
      </c>
      <c r="AB53" s="3">
        <f t="shared" si="240"/>
        <v>0</v>
      </c>
      <c r="AC53" s="3">
        <f t="shared" si="240"/>
        <v>0</v>
      </c>
      <c r="AD53" s="3">
        <f t="shared" si="240"/>
        <v>0</v>
      </c>
      <c r="AE53" s="3">
        <f t="shared" si="240"/>
        <v>0</v>
      </c>
      <c r="AF53" s="3">
        <f t="shared" si="240"/>
        <v>0</v>
      </c>
      <c r="AH53" s="3">
        <f t="shared" ref="AH53:AS53" si="241">IF(AND(AH$5&gt;=$C53,AH$5&lt;=$D53),$E53,0)</f>
        <v>0</v>
      </c>
      <c r="AI53" s="3">
        <f t="shared" si="241"/>
        <v>0</v>
      </c>
      <c r="AJ53" s="3">
        <f t="shared" si="241"/>
        <v>0</v>
      </c>
      <c r="AK53" s="3">
        <f t="shared" si="241"/>
        <v>0</v>
      </c>
      <c r="AL53" s="3">
        <f t="shared" si="241"/>
        <v>0</v>
      </c>
      <c r="AM53" s="3">
        <f t="shared" si="241"/>
        <v>0</v>
      </c>
      <c r="AN53" s="3">
        <f t="shared" si="241"/>
        <v>0</v>
      </c>
      <c r="AO53" s="3">
        <f t="shared" si="241"/>
        <v>0</v>
      </c>
      <c r="AP53" s="3">
        <f t="shared" si="241"/>
        <v>0</v>
      </c>
      <c r="AQ53" s="3">
        <f t="shared" si="241"/>
        <v>0</v>
      </c>
      <c r="AR53" s="3">
        <f t="shared" si="241"/>
        <v>0</v>
      </c>
      <c r="AS53" s="3">
        <f t="shared" si="241"/>
        <v>0</v>
      </c>
      <c r="AU53" s="3">
        <f t="shared" ref="AU53:BF53" si="242">IF(AND(AU$5&gt;=$C53,AU$5&lt;=$D53),$E53,0)</f>
        <v>0</v>
      </c>
      <c r="AV53" s="3">
        <f t="shared" si="242"/>
        <v>0</v>
      </c>
      <c r="AW53" s="3">
        <f t="shared" si="242"/>
        <v>0</v>
      </c>
      <c r="AX53" s="3">
        <f t="shared" si="242"/>
        <v>0</v>
      </c>
      <c r="AY53" s="3">
        <f t="shared" si="242"/>
        <v>0</v>
      </c>
      <c r="AZ53" s="3">
        <f t="shared" si="242"/>
        <v>0</v>
      </c>
      <c r="BA53" s="3">
        <f t="shared" si="242"/>
        <v>0</v>
      </c>
      <c r="BB53" s="3">
        <f t="shared" si="242"/>
        <v>0</v>
      </c>
      <c r="BC53" s="3">
        <f t="shared" si="242"/>
        <v>0</v>
      </c>
      <c r="BD53" s="3">
        <f t="shared" si="242"/>
        <v>0</v>
      </c>
      <c r="BE53" s="3">
        <f t="shared" si="242"/>
        <v>0</v>
      </c>
      <c r="BF53" s="3">
        <f t="shared" si="242"/>
        <v>0</v>
      </c>
      <c r="BG53" s="2"/>
      <c r="BH53" s="3">
        <f t="shared" ref="BH53:BS53" si="243">IF(AND(BH$5&gt;=$C53,BH$5&lt;=$D53),$E53,0)</f>
        <v>0</v>
      </c>
      <c r="BI53" s="3">
        <f t="shared" si="243"/>
        <v>0</v>
      </c>
      <c r="BJ53" s="3">
        <f t="shared" si="243"/>
        <v>0</v>
      </c>
      <c r="BK53" s="3">
        <f t="shared" si="243"/>
        <v>0</v>
      </c>
      <c r="BL53" s="3">
        <f t="shared" si="243"/>
        <v>0</v>
      </c>
      <c r="BM53" s="3">
        <f t="shared" si="243"/>
        <v>0</v>
      </c>
      <c r="BN53" s="3">
        <f t="shared" si="243"/>
        <v>0</v>
      </c>
      <c r="BO53" s="3">
        <f t="shared" si="243"/>
        <v>0</v>
      </c>
      <c r="BP53" s="3">
        <f t="shared" si="243"/>
        <v>0</v>
      </c>
      <c r="BQ53" s="3">
        <f t="shared" si="243"/>
        <v>0</v>
      </c>
      <c r="BR53" s="3">
        <f t="shared" si="243"/>
        <v>0</v>
      </c>
      <c r="BS53" s="3">
        <f t="shared" si="243"/>
        <v>0</v>
      </c>
      <c r="BT53" s="2"/>
    </row>
    <row r="54" spans="1:72" ht="15.75" customHeight="1">
      <c r="A54" s="54" t="str">
        <f>IF('Capital purchases'!C58="","",'Capital purchases'!C58)</f>
        <v/>
      </c>
      <c r="B54" s="2"/>
      <c r="C54" s="2" t="str">
        <f>IF($A54="","",'Capital purchases'!B58)</f>
        <v/>
      </c>
      <c r="D54" s="3" t="str">
        <f>IF($A54="","",'Capital purchases'!J58)</f>
        <v/>
      </c>
      <c r="E54" s="161" t="str">
        <f>IF($A54="","",'Capital purchases'!I58)</f>
        <v/>
      </c>
      <c r="H54" s="3">
        <f t="shared" ref="H54:S54" si="244">IF(AND(H$5&gt;=$C54,H$5&lt;=$D54),$E54,0)</f>
        <v>0</v>
      </c>
      <c r="I54" s="3">
        <f t="shared" si="244"/>
        <v>0</v>
      </c>
      <c r="J54" s="3">
        <f t="shared" si="244"/>
        <v>0</v>
      </c>
      <c r="K54" s="3">
        <f t="shared" si="244"/>
        <v>0</v>
      </c>
      <c r="L54" s="3">
        <f t="shared" si="244"/>
        <v>0</v>
      </c>
      <c r="M54" s="3">
        <f t="shared" si="244"/>
        <v>0</v>
      </c>
      <c r="N54" s="3">
        <f t="shared" si="244"/>
        <v>0</v>
      </c>
      <c r="O54" s="3">
        <f t="shared" si="244"/>
        <v>0</v>
      </c>
      <c r="P54" s="3">
        <f t="shared" si="244"/>
        <v>0</v>
      </c>
      <c r="Q54" s="3">
        <f t="shared" si="244"/>
        <v>0</v>
      </c>
      <c r="R54" s="3">
        <f t="shared" si="244"/>
        <v>0</v>
      </c>
      <c r="S54" s="3">
        <f t="shared" si="244"/>
        <v>0</v>
      </c>
      <c r="U54" s="3">
        <f t="shared" ref="U54:AF54" si="245">IF(AND(U$5&gt;=$C54,U$5&lt;=$D54),$E54,0)</f>
        <v>0</v>
      </c>
      <c r="V54" s="3">
        <f t="shared" si="245"/>
        <v>0</v>
      </c>
      <c r="W54" s="3">
        <f t="shared" si="245"/>
        <v>0</v>
      </c>
      <c r="X54" s="3">
        <f t="shared" si="245"/>
        <v>0</v>
      </c>
      <c r="Y54" s="3">
        <f t="shared" si="245"/>
        <v>0</v>
      </c>
      <c r="Z54" s="3">
        <f t="shared" si="245"/>
        <v>0</v>
      </c>
      <c r="AA54" s="3">
        <f t="shared" si="245"/>
        <v>0</v>
      </c>
      <c r="AB54" s="3">
        <f t="shared" si="245"/>
        <v>0</v>
      </c>
      <c r="AC54" s="3">
        <f t="shared" si="245"/>
        <v>0</v>
      </c>
      <c r="AD54" s="3">
        <f t="shared" si="245"/>
        <v>0</v>
      </c>
      <c r="AE54" s="3">
        <f t="shared" si="245"/>
        <v>0</v>
      </c>
      <c r="AF54" s="3">
        <f t="shared" si="245"/>
        <v>0</v>
      </c>
      <c r="AH54" s="3">
        <f t="shared" ref="AH54:AS54" si="246">IF(AND(AH$5&gt;=$C54,AH$5&lt;=$D54),$E54,0)</f>
        <v>0</v>
      </c>
      <c r="AI54" s="3">
        <f t="shared" si="246"/>
        <v>0</v>
      </c>
      <c r="AJ54" s="3">
        <f t="shared" si="246"/>
        <v>0</v>
      </c>
      <c r="AK54" s="3">
        <f t="shared" si="246"/>
        <v>0</v>
      </c>
      <c r="AL54" s="3">
        <f t="shared" si="246"/>
        <v>0</v>
      </c>
      <c r="AM54" s="3">
        <f t="shared" si="246"/>
        <v>0</v>
      </c>
      <c r="AN54" s="3">
        <f t="shared" si="246"/>
        <v>0</v>
      </c>
      <c r="AO54" s="3">
        <f t="shared" si="246"/>
        <v>0</v>
      </c>
      <c r="AP54" s="3">
        <f t="shared" si="246"/>
        <v>0</v>
      </c>
      <c r="AQ54" s="3">
        <f t="shared" si="246"/>
        <v>0</v>
      </c>
      <c r="AR54" s="3">
        <f t="shared" si="246"/>
        <v>0</v>
      </c>
      <c r="AS54" s="3">
        <f t="shared" si="246"/>
        <v>0</v>
      </c>
      <c r="AU54" s="3">
        <f t="shared" ref="AU54:BF54" si="247">IF(AND(AU$5&gt;=$C54,AU$5&lt;=$D54),$E54,0)</f>
        <v>0</v>
      </c>
      <c r="AV54" s="3">
        <f t="shared" si="247"/>
        <v>0</v>
      </c>
      <c r="AW54" s="3">
        <f t="shared" si="247"/>
        <v>0</v>
      </c>
      <c r="AX54" s="3">
        <f t="shared" si="247"/>
        <v>0</v>
      </c>
      <c r="AY54" s="3">
        <f t="shared" si="247"/>
        <v>0</v>
      </c>
      <c r="AZ54" s="3">
        <f t="shared" si="247"/>
        <v>0</v>
      </c>
      <c r="BA54" s="3">
        <f t="shared" si="247"/>
        <v>0</v>
      </c>
      <c r="BB54" s="3">
        <f t="shared" si="247"/>
        <v>0</v>
      </c>
      <c r="BC54" s="3">
        <f t="shared" si="247"/>
        <v>0</v>
      </c>
      <c r="BD54" s="3">
        <f t="shared" si="247"/>
        <v>0</v>
      </c>
      <c r="BE54" s="3">
        <f t="shared" si="247"/>
        <v>0</v>
      </c>
      <c r="BF54" s="3">
        <f t="shared" si="247"/>
        <v>0</v>
      </c>
      <c r="BG54" s="2"/>
      <c r="BH54" s="3">
        <f t="shared" ref="BH54:BS54" si="248">IF(AND(BH$5&gt;=$C54,BH$5&lt;=$D54),$E54,0)</f>
        <v>0</v>
      </c>
      <c r="BI54" s="3">
        <f t="shared" si="248"/>
        <v>0</v>
      </c>
      <c r="BJ54" s="3">
        <f t="shared" si="248"/>
        <v>0</v>
      </c>
      <c r="BK54" s="3">
        <f t="shared" si="248"/>
        <v>0</v>
      </c>
      <c r="BL54" s="3">
        <f t="shared" si="248"/>
        <v>0</v>
      </c>
      <c r="BM54" s="3">
        <f t="shared" si="248"/>
        <v>0</v>
      </c>
      <c r="BN54" s="3">
        <f t="shared" si="248"/>
        <v>0</v>
      </c>
      <c r="BO54" s="3">
        <f t="shared" si="248"/>
        <v>0</v>
      </c>
      <c r="BP54" s="3">
        <f t="shared" si="248"/>
        <v>0</v>
      </c>
      <c r="BQ54" s="3">
        <f t="shared" si="248"/>
        <v>0</v>
      </c>
      <c r="BR54" s="3">
        <f t="shared" si="248"/>
        <v>0</v>
      </c>
      <c r="BS54" s="3">
        <f t="shared" si="248"/>
        <v>0</v>
      </c>
      <c r="BT54" s="2"/>
    </row>
    <row r="55" spans="1:72" ht="15.75" customHeight="1">
      <c r="A55" s="54" t="str">
        <f>IF('Capital purchases'!C59="","",'Capital purchases'!C59)</f>
        <v/>
      </c>
      <c r="B55" s="2"/>
      <c r="C55" s="2" t="str">
        <f>IF($A55="","",'Capital purchases'!B59)</f>
        <v/>
      </c>
      <c r="D55" s="3" t="str">
        <f>IF($A55="","",'Capital purchases'!J59)</f>
        <v/>
      </c>
      <c r="E55" s="161" t="str">
        <f>IF($A55="","",'Capital purchases'!I59)</f>
        <v/>
      </c>
      <c r="H55" s="3">
        <f t="shared" ref="H55:S55" si="249">IF(AND(H$5&gt;=$C55,H$5&lt;=$D55),$E55,0)</f>
        <v>0</v>
      </c>
      <c r="I55" s="3">
        <f t="shared" si="249"/>
        <v>0</v>
      </c>
      <c r="J55" s="3">
        <f t="shared" si="249"/>
        <v>0</v>
      </c>
      <c r="K55" s="3">
        <f t="shared" si="249"/>
        <v>0</v>
      </c>
      <c r="L55" s="3">
        <f t="shared" si="249"/>
        <v>0</v>
      </c>
      <c r="M55" s="3">
        <f t="shared" si="249"/>
        <v>0</v>
      </c>
      <c r="N55" s="3">
        <f t="shared" si="249"/>
        <v>0</v>
      </c>
      <c r="O55" s="3">
        <f t="shared" si="249"/>
        <v>0</v>
      </c>
      <c r="P55" s="3">
        <f t="shared" si="249"/>
        <v>0</v>
      </c>
      <c r="Q55" s="3">
        <f t="shared" si="249"/>
        <v>0</v>
      </c>
      <c r="R55" s="3">
        <f t="shared" si="249"/>
        <v>0</v>
      </c>
      <c r="S55" s="3">
        <f t="shared" si="249"/>
        <v>0</v>
      </c>
      <c r="U55" s="3">
        <f t="shared" ref="U55:AF55" si="250">IF(AND(U$5&gt;=$C55,U$5&lt;=$D55),$E55,0)</f>
        <v>0</v>
      </c>
      <c r="V55" s="3">
        <f t="shared" si="250"/>
        <v>0</v>
      </c>
      <c r="W55" s="3">
        <f t="shared" si="250"/>
        <v>0</v>
      </c>
      <c r="X55" s="3">
        <f t="shared" si="250"/>
        <v>0</v>
      </c>
      <c r="Y55" s="3">
        <f t="shared" si="250"/>
        <v>0</v>
      </c>
      <c r="Z55" s="3">
        <f t="shared" si="250"/>
        <v>0</v>
      </c>
      <c r="AA55" s="3">
        <f t="shared" si="250"/>
        <v>0</v>
      </c>
      <c r="AB55" s="3">
        <f t="shared" si="250"/>
        <v>0</v>
      </c>
      <c r="AC55" s="3">
        <f t="shared" si="250"/>
        <v>0</v>
      </c>
      <c r="AD55" s="3">
        <f t="shared" si="250"/>
        <v>0</v>
      </c>
      <c r="AE55" s="3">
        <f t="shared" si="250"/>
        <v>0</v>
      </c>
      <c r="AF55" s="3">
        <f t="shared" si="250"/>
        <v>0</v>
      </c>
      <c r="AH55" s="3">
        <f t="shared" ref="AH55:AS55" si="251">IF(AND(AH$5&gt;=$C55,AH$5&lt;=$D55),$E55,0)</f>
        <v>0</v>
      </c>
      <c r="AI55" s="3">
        <f t="shared" si="251"/>
        <v>0</v>
      </c>
      <c r="AJ55" s="3">
        <f t="shared" si="251"/>
        <v>0</v>
      </c>
      <c r="AK55" s="3">
        <f t="shared" si="251"/>
        <v>0</v>
      </c>
      <c r="AL55" s="3">
        <f t="shared" si="251"/>
        <v>0</v>
      </c>
      <c r="AM55" s="3">
        <f t="shared" si="251"/>
        <v>0</v>
      </c>
      <c r="AN55" s="3">
        <f t="shared" si="251"/>
        <v>0</v>
      </c>
      <c r="AO55" s="3">
        <f t="shared" si="251"/>
        <v>0</v>
      </c>
      <c r="AP55" s="3">
        <f t="shared" si="251"/>
        <v>0</v>
      </c>
      <c r="AQ55" s="3">
        <f t="shared" si="251"/>
        <v>0</v>
      </c>
      <c r="AR55" s="3">
        <f t="shared" si="251"/>
        <v>0</v>
      </c>
      <c r="AS55" s="3">
        <f t="shared" si="251"/>
        <v>0</v>
      </c>
      <c r="AU55" s="3">
        <f t="shared" ref="AU55:BF55" si="252">IF(AND(AU$5&gt;=$C55,AU$5&lt;=$D55),$E55,0)</f>
        <v>0</v>
      </c>
      <c r="AV55" s="3">
        <f t="shared" si="252"/>
        <v>0</v>
      </c>
      <c r="AW55" s="3">
        <f t="shared" si="252"/>
        <v>0</v>
      </c>
      <c r="AX55" s="3">
        <f t="shared" si="252"/>
        <v>0</v>
      </c>
      <c r="AY55" s="3">
        <f t="shared" si="252"/>
        <v>0</v>
      </c>
      <c r="AZ55" s="3">
        <f t="shared" si="252"/>
        <v>0</v>
      </c>
      <c r="BA55" s="3">
        <f t="shared" si="252"/>
        <v>0</v>
      </c>
      <c r="BB55" s="3">
        <f t="shared" si="252"/>
        <v>0</v>
      </c>
      <c r="BC55" s="3">
        <f t="shared" si="252"/>
        <v>0</v>
      </c>
      <c r="BD55" s="3">
        <f t="shared" si="252"/>
        <v>0</v>
      </c>
      <c r="BE55" s="3">
        <f t="shared" si="252"/>
        <v>0</v>
      </c>
      <c r="BF55" s="3">
        <f t="shared" si="252"/>
        <v>0</v>
      </c>
      <c r="BG55" s="2"/>
      <c r="BH55" s="3">
        <f t="shared" ref="BH55:BS55" si="253">IF(AND(BH$5&gt;=$C55,BH$5&lt;=$D55),$E55,0)</f>
        <v>0</v>
      </c>
      <c r="BI55" s="3">
        <f t="shared" si="253"/>
        <v>0</v>
      </c>
      <c r="BJ55" s="3">
        <f t="shared" si="253"/>
        <v>0</v>
      </c>
      <c r="BK55" s="3">
        <f t="shared" si="253"/>
        <v>0</v>
      </c>
      <c r="BL55" s="3">
        <f t="shared" si="253"/>
        <v>0</v>
      </c>
      <c r="BM55" s="3">
        <f t="shared" si="253"/>
        <v>0</v>
      </c>
      <c r="BN55" s="3">
        <f t="shared" si="253"/>
        <v>0</v>
      </c>
      <c r="BO55" s="3">
        <f t="shared" si="253"/>
        <v>0</v>
      </c>
      <c r="BP55" s="3">
        <f t="shared" si="253"/>
        <v>0</v>
      </c>
      <c r="BQ55" s="3">
        <f t="shared" si="253"/>
        <v>0</v>
      </c>
      <c r="BR55" s="3">
        <f t="shared" si="253"/>
        <v>0</v>
      </c>
      <c r="BS55" s="3">
        <f t="shared" si="253"/>
        <v>0</v>
      </c>
      <c r="BT55" s="2"/>
    </row>
    <row r="56" spans="1:72" ht="15.75" customHeight="1">
      <c r="A56" s="54" t="str">
        <f>IF('Capital purchases'!C60="","",'Capital purchases'!C60)</f>
        <v/>
      </c>
      <c r="B56" s="2"/>
      <c r="C56" s="2" t="str">
        <f>IF($A56="","",'Capital purchases'!B60)</f>
        <v/>
      </c>
      <c r="D56" s="3" t="str">
        <f>IF($A56="","",'Capital purchases'!J60)</f>
        <v/>
      </c>
      <c r="E56" s="161" t="str">
        <f>IF($A56="","",'Capital purchases'!I60)</f>
        <v/>
      </c>
      <c r="H56" s="3">
        <f t="shared" ref="H56:S56" si="254">IF(AND(H$5&gt;=$C56,H$5&lt;=$D56),$E56,0)</f>
        <v>0</v>
      </c>
      <c r="I56" s="3">
        <f t="shared" si="254"/>
        <v>0</v>
      </c>
      <c r="J56" s="3">
        <f t="shared" si="254"/>
        <v>0</v>
      </c>
      <c r="K56" s="3">
        <f t="shared" si="254"/>
        <v>0</v>
      </c>
      <c r="L56" s="3">
        <f t="shared" si="254"/>
        <v>0</v>
      </c>
      <c r="M56" s="3">
        <f t="shared" si="254"/>
        <v>0</v>
      </c>
      <c r="N56" s="3">
        <f t="shared" si="254"/>
        <v>0</v>
      </c>
      <c r="O56" s="3">
        <f t="shared" si="254"/>
        <v>0</v>
      </c>
      <c r="P56" s="3">
        <f t="shared" si="254"/>
        <v>0</v>
      </c>
      <c r="Q56" s="3">
        <f t="shared" si="254"/>
        <v>0</v>
      </c>
      <c r="R56" s="3">
        <f t="shared" si="254"/>
        <v>0</v>
      </c>
      <c r="S56" s="3">
        <f t="shared" si="254"/>
        <v>0</v>
      </c>
      <c r="U56" s="3">
        <f t="shared" ref="U56:AF56" si="255">IF(AND(U$5&gt;=$C56,U$5&lt;=$D56),$E56,0)</f>
        <v>0</v>
      </c>
      <c r="V56" s="3">
        <f t="shared" si="255"/>
        <v>0</v>
      </c>
      <c r="W56" s="3">
        <f t="shared" si="255"/>
        <v>0</v>
      </c>
      <c r="X56" s="3">
        <f t="shared" si="255"/>
        <v>0</v>
      </c>
      <c r="Y56" s="3">
        <f t="shared" si="255"/>
        <v>0</v>
      </c>
      <c r="Z56" s="3">
        <f t="shared" si="255"/>
        <v>0</v>
      </c>
      <c r="AA56" s="3">
        <f t="shared" si="255"/>
        <v>0</v>
      </c>
      <c r="AB56" s="3">
        <f t="shared" si="255"/>
        <v>0</v>
      </c>
      <c r="AC56" s="3">
        <f t="shared" si="255"/>
        <v>0</v>
      </c>
      <c r="AD56" s="3">
        <f t="shared" si="255"/>
        <v>0</v>
      </c>
      <c r="AE56" s="3">
        <f t="shared" si="255"/>
        <v>0</v>
      </c>
      <c r="AF56" s="3">
        <f t="shared" si="255"/>
        <v>0</v>
      </c>
      <c r="AH56" s="3">
        <f t="shared" ref="AH56:AS56" si="256">IF(AND(AH$5&gt;=$C56,AH$5&lt;=$D56),$E56,0)</f>
        <v>0</v>
      </c>
      <c r="AI56" s="3">
        <f t="shared" si="256"/>
        <v>0</v>
      </c>
      <c r="AJ56" s="3">
        <f t="shared" si="256"/>
        <v>0</v>
      </c>
      <c r="AK56" s="3">
        <f t="shared" si="256"/>
        <v>0</v>
      </c>
      <c r="AL56" s="3">
        <f t="shared" si="256"/>
        <v>0</v>
      </c>
      <c r="AM56" s="3">
        <f t="shared" si="256"/>
        <v>0</v>
      </c>
      <c r="AN56" s="3">
        <f t="shared" si="256"/>
        <v>0</v>
      </c>
      <c r="AO56" s="3">
        <f t="shared" si="256"/>
        <v>0</v>
      </c>
      <c r="AP56" s="3">
        <f t="shared" si="256"/>
        <v>0</v>
      </c>
      <c r="AQ56" s="3">
        <f t="shared" si="256"/>
        <v>0</v>
      </c>
      <c r="AR56" s="3">
        <f t="shared" si="256"/>
        <v>0</v>
      </c>
      <c r="AS56" s="3">
        <f t="shared" si="256"/>
        <v>0</v>
      </c>
      <c r="AU56" s="3">
        <f t="shared" ref="AU56:BF56" si="257">IF(AND(AU$5&gt;=$C56,AU$5&lt;=$D56),$E56,0)</f>
        <v>0</v>
      </c>
      <c r="AV56" s="3">
        <f t="shared" si="257"/>
        <v>0</v>
      </c>
      <c r="AW56" s="3">
        <f t="shared" si="257"/>
        <v>0</v>
      </c>
      <c r="AX56" s="3">
        <f t="shared" si="257"/>
        <v>0</v>
      </c>
      <c r="AY56" s="3">
        <f t="shared" si="257"/>
        <v>0</v>
      </c>
      <c r="AZ56" s="3">
        <f t="shared" si="257"/>
        <v>0</v>
      </c>
      <c r="BA56" s="3">
        <f t="shared" si="257"/>
        <v>0</v>
      </c>
      <c r="BB56" s="3">
        <f t="shared" si="257"/>
        <v>0</v>
      </c>
      <c r="BC56" s="3">
        <f t="shared" si="257"/>
        <v>0</v>
      </c>
      <c r="BD56" s="3">
        <f t="shared" si="257"/>
        <v>0</v>
      </c>
      <c r="BE56" s="3">
        <f t="shared" si="257"/>
        <v>0</v>
      </c>
      <c r="BF56" s="3">
        <f t="shared" si="257"/>
        <v>0</v>
      </c>
      <c r="BG56" s="2"/>
      <c r="BH56" s="3">
        <f t="shared" ref="BH56:BS56" si="258">IF(AND(BH$5&gt;=$C56,BH$5&lt;=$D56),$E56,0)</f>
        <v>0</v>
      </c>
      <c r="BI56" s="3">
        <f t="shared" si="258"/>
        <v>0</v>
      </c>
      <c r="BJ56" s="3">
        <f t="shared" si="258"/>
        <v>0</v>
      </c>
      <c r="BK56" s="3">
        <f t="shared" si="258"/>
        <v>0</v>
      </c>
      <c r="BL56" s="3">
        <f t="shared" si="258"/>
        <v>0</v>
      </c>
      <c r="BM56" s="3">
        <f t="shared" si="258"/>
        <v>0</v>
      </c>
      <c r="BN56" s="3">
        <f t="shared" si="258"/>
        <v>0</v>
      </c>
      <c r="BO56" s="3">
        <f t="shared" si="258"/>
        <v>0</v>
      </c>
      <c r="BP56" s="3">
        <f t="shared" si="258"/>
        <v>0</v>
      </c>
      <c r="BQ56" s="3">
        <f t="shared" si="258"/>
        <v>0</v>
      </c>
      <c r="BR56" s="3">
        <f t="shared" si="258"/>
        <v>0</v>
      </c>
      <c r="BS56" s="3">
        <f t="shared" si="258"/>
        <v>0</v>
      </c>
      <c r="BT56" s="2"/>
    </row>
    <row r="57" spans="1:72" ht="15.75" customHeight="1">
      <c r="A57" s="54" t="str">
        <f>IF('Capital purchases'!C61="","",'Capital purchases'!C61)</f>
        <v/>
      </c>
      <c r="B57" s="2"/>
      <c r="C57" s="2" t="str">
        <f>IF($A57="","",'Capital purchases'!B61)</f>
        <v/>
      </c>
      <c r="D57" s="3" t="str">
        <f>IF($A57="","",'Capital purchases'!J61)</f>
        <v/>
      </c>
      <c r="E57" s="161" t="str">
        <f>IF($A57="","",'Capital purchases'!I61)</f>
        <v/>
      </c>
      <c r="H57" s="3">
        <f t="shared" ref="H57:S57" si="259">IF(AND(H$5&gt;=$C57,H$5&lt;=$D57),$E57,0)</f>
        <v>0</v>
      </c>
      <c r="I57" s="3">
        <f t="shared" si="259"/>
        <v>0</v>
      </c>
      <c r="J57" s="3">
        <f t="shared" si="259"/>
        <v>0</v>
      </c>
      <c r="K57" s="3">
        <f t="shared" si="259"/>
        <v>0</v>
      </c>
      <c r="L57" s="3">
        <f t="shared" si="259"/>
        <v>0</v>
      </c>
      <c r="M57" s="3">
        <f t="shared" si="259"/>
        <v>0</v>
      </c>
      <c r="N57" s="3">
        <f t="shared" si="259"/>
        <v>0</v>
      </c>
      <c r="O57" s="3">
        <f t="shared" si="259"/>
        <v>0</v>
      </c>
      <c r="P57" s="3">
        <f t="shared" si="259"/>
        <v>0</v>
      </c>
      <c r="Q57" s="3">
        <f t="shared" si="259"/>
        <v>0</v>
      </c>
      <c r="R57" s="3">
        <f t="shared" si="259"/>
        <v>0</v>
      </c>
      <c r="S57" s="3">
        <f t="shared" si="259"/>
        <v>0</v>
      </c>
      <c r="U57" s="3">
        <f t="shared" ref="U57:AF57" si="260">IF(AND(U$5&gt;=$C57,U$5&lt;=$D57),$E57,0)</f>
        <v>0</v>
      </c>
      <c r="V57" s="3">
        <f t="shared" si="260"/>
        <v>0</v>
      </c>
      <c r="W57" s="3">
        <f t="shared" si="260"/>
        <v>0</v>
      </c>
      <c r="X57" s="3">
        <f t="shared" si="260"/>
        <v>0</v>
      </c>
      <c r="Y57" s="3">
        <f t="shared" si="260"/>
        <v>0</v>
      </c>
      <c r="Z57" s="3">
        <f t="shared" si="260"/>
        <v>0</v>
      </c>
      <c r="AA57" s="3">
        <f t="shared" si="260"/>
        <v>0</v>
      </c>
      <c r="AB57" s="3">
        <f t="shared" si="260"/>
        <v>0</v>
      </c>
      <c r="AC57" s="3">
        <f t="shared" si="260"/>
        <v>0</v>
      </c>
      <c r="AD57" s="3">
        <f t="shared" si="260"/>
        <v>0</v>
      </c>
      <c r="AE57" s="3">
        <f t="shared" si="260"/>
        <v>0</v>
      </c>
      <c r="AF57" s="3">
        <f t="shared" si="260"/>
        <v>0</v>
      </c>
      <c r="AH57" s="3">
        <f t="shared" ref="AH57:AS57" si="261">IF(AND(AH$5&gt;=$C57,AH$5&lt;=$D57),$E57,0)</f>
        <v>0</v>
      </c>
      <c r="AI57" s="3">
        <f t="shared" si="261"/>
        <v>0</v>
      </c>
      <c r="AJ57" s="3">
        <f t="shared" si="261"/>
        <v>0</v>
      </c>
      <c r="AK57" s="3">
        <f t="shared" si="261"/>
        <v>0</v>
      </c>
      <c r="AL57" s="3">
        <f t="shared" si="261"/>
        <v>0</v>
      </c>
      <c r="AM57" s="3">
        <f t="shared" si="261"/>
        <v>0</v>
      </c>
      <c r="AN57" s="3">
        <f t="shared" si="261"/>
        <v>0</v>
      </c>
      <c r="AO57" s="3">
        <f t="shared" si="261"/>
        <v>0</v>
      </c>
      <c r="AP57" s="3">
        <f t="shared" si="261"/>
        <v>0</v>
      </c>
      <c r="AQ57" s="3">
        <f t="shared" si="261"/>
        <v>0</v>
      </c>
      <c r="AR57" s="3">
        <f t="shared" si="261"/>
        <v>0</v>
      </c>
      <c r="AS57" s="3">
        <f t="shared" si="261"/>
        <v>0</v>
      </c>
      <c r="AU57" s="3">
        <f t="shared" ref="AU57:BF57" si="262">IF(AND(AU$5&gt;=$C57,AU$5&lt;=$D57),$E57,0)</f>
        <v>0</v>
      </c>
      <c r="AV57" s="3">
        <f t="shared" si="262"/>
        <v>0</v>
      </c>
      <c r="AW57" s="3">
        <f t="shared" si="262"/>
        <v>0</v>
      </c>
      <c r="AX57" s="3">
        <f t="shared" si="262"/>
        <v>0</v>
      </c>
      <c r="AY57" s="3">
        <f t="shared" si="262"/>
        <v>0</v>
      </c>
      <c r="AZ57" s="3">
        <f t="shared" si="262"/>
        <v>0</v>
      </c>
      <c r="BA57" s="3">
        <f t="shared" si="262"/>
        <v>0</v>
      </c>
      <c r="BB57" s="3">
        <f t="shared" si="262"/>
        <v>0</v>
      </c>
      <c r="BC57" s="3">
        <f t="shared" si="262"/>
        <v>0</v>
      </c>
      <c r="BD57" s="3">
        <f t="shared" si="262"/>
        <v>0</v>
      </c>
      <c r="BE57" s="3">
        <f t="shared" si="262"/>
        <v>0</v>
      </c>
      <c r="BF57" s="3">
        <f t="shared" si="262"/>
        <v>0</v>
      </c>
      <c r="BG57" s="2"/>
      <c r="BH57" s="3">
        <f t="shared" ref="BH57:BS57" si="263">IF(AND(BH$5&gt;=$C57,BH$5&lt;=$D57),$E57,0)</f>
        <v>0</v>
      </c>
      <c r="BI57" s="3">
        <f t="shared" si="263"/>
        <v>0</v>
      </c>
      <c r="BJ57" s="3">
        <f t="shared" si="263"/>
        <v>0</v>
      </c>
      <c r="BK57" s="3">
        <f t="shared" si="263"/>
        <v>0</v>
      </c>
      <c r="BL57" s="3">
        <f t="shared" si="263"/>
        <v>0</v>
      </c>
      <c r="BM57" s="3">
        <f t="shared" si="263"/>
        <v>0</v>
      </c>
      <c r="BN57" s="3">
        <f t="shared" si="263"/>
        <v>0</v>
      </c>
      <c r="BO57" s="3">
        <f t="shared" si="263"/>
        <v>0</v>
      </c>
      <c r="BP57" s="3">
        <f t="shared" si="263"/>
        <v>0</v>
      </c>
      <c r="BQ57" s="3">
        <f t="shared" si="263"/>
        <v>0</v>
      </c>
      <c r="BR57" s="3">
        <f t="shared" si="263"/>
        <v>0</v>
      </c>
      <c r="BS57" s="3">
        <f t="shared" si="263"/>
        <v>0</v>
      </c>
      <c r="BT57" s="2"/>
    </row>
    <row r="58" spans="1:72" ht="15.75" customHeight="1">
      <c r="A58" s="54" t="str">
        <f>IF('Capital purchases'!C62="","",'Capital purchases'!C62)</f>
        <v/>
      </c>
      <c r="B58" s="2"/>
      <c r="C58" s="2" t="str">
        <f>IF($A58="","",'Capital purchases'!B62)</f>
        <v/>
      </c>
      <c r="D58" s="3" t="str">
        <f>IF($A58="","",'Capital purchases'!J62)</f>
        <v/>
      </c>
      <c r="E58" s="161" t="str">
        <f>IF($A58="","",'Capital purchases'!I62)</f>
        <v/>
      </c>
      <c r="H58" s="3">
        <f t="shared" ref="H58:S58" si="264">IF(AND(H$5&gt;=$C58,H$5&lt;=$D58),$E58,0)</f>
        <v>0</v>
      </c>
      <c r="I58" s="3">
        <f t="shared" si="264"/>
        <v>0</v>
      </c>
      <c r="J58" s="3">
        <f t="shared" si="264"/>
        <v>0</v>
      </c>
      <c r="K58" s="3">
        <f t="shared" si="264"/>
        <v>0</v>
      </c>
      <c r="L58" s="3">
        <f t="shared" si="264"/>
        <v>0</v>
      </c>
      <c r="M58" s="3">
        <f t="shared" si="264"/>
        <v>0</v>
      </c>
      <c r="N58" s="3">
        <f t="shared" si="264"/>
        <v>0</v>
      </c>
      <c r="O58" s="3">
        <f t="shared" si="264"/>
        <v>0</v>
      </c>
      <c r="P58" s="3">
        <f t="shared" si="264"/>
        <v>0</v>
      </c>
      <c r="Q58" s="3">
        <f t="shared" si="264"/>
        <v>0</v>
      </c>
      <c r="R58" s="3">
        <f t="shared" si="264"/>
        <v>0</v>
      </c>
      <c r="S58" s="3">
        <f t="shared" si="264"/>
        <v>0</v>
      </c>
      <c r="U58" s="3">
        <f t="shared" ref="U58:AF58" si="265">IF(AND(U$5&gt;=$C58,U$5&lt;=$D58),$E58,0)</f>
        <v>0</v>
      </c>
      <c r="V58" s="3">
        <f t="shared" si="265"/>
        <v>0</v>
      </c>
      <c r="W58" s="3">
        <f t="shared" si="265"/>
        <v>0</v>
      </c>
      <c r="X58" s="3">
        <f t="shared" si="265"/>
        <v>0</v>
      </c>
      <c r="Y58" s="3">
        <f t="shared" si="265"/>
        <v>0</v>
      </c>
      <c r="Z58" s="3">
        <f t="shared" si="265"/>
        <v>0</v>
      </c>
      <c r="AA58" s="3">
        <f t="shared" si="265"/>
        <v>0</v>
      </c>
      <c r="AB58" s="3">
        <f t="shared" si="265"/>
        <v>0</v>
      </c>
      <c r="AC58" s="3">
        <f t="shared" si="265"/>
        <v>0</v>
      </c>
      <c r="AD58" s="3">
        <f t="shared" si="265"/>
        <v>0</v>
      </c>
      <c r="AE58" s="3">
        <f t="shared" si="265"/>
        <v>0</v>
      </c>
      <c r="AF58" s="3">
        <f t="shared" si="265"/>
        <v>0</v>
      </c>
      <c r="AH58" s="3">
        <f t="shared" ref="AH58:AS58" si="266">IF(AND(AH$5&gt;=$C58,AH$5&lt;=$D58),$E58,0)</f>
        <v>0</v>
      </c>
      <c r="AI58" s="3">
        <f t="shared" si="266"/>
        <v>0</v>
      </c>
      <c r="AJ58" s="3">
        <f t="shared" si="266"/>
        <v>0</v>
      </c>
      <c r="AK58" s="3">
        <f t="shared" si="266"/>
        <v>0</v>
      </c>
      <c r="AL58" s="3">
        <f t="shared" si="266"/>
        <v>0</v>
      </c>
      <c r="AM58" s="3">
        <f t="shared" si="266"/>
        <v>0</v>
      </c>
      <c r="AN58" s="3">
        <f t="shared" si="266"/>
        <v>0</v>
      </c>
      <c r="AO58" s="3">
        <f t="shared" si="266"/>
        <v>0</v>
      </c>
      <c r="AP58" s="3">
        <f t="shared" si="266"/>
        <v>0</v>
      </c>
      <c r="AQ58" s="3">
        <f t="shared" si="266"/>
        <v>0</v>
      </c>
      <c r="AR58" s="3">
        <f t="shared" si="266"/>
        <v>0</v>
      </c>
      <c r="AS58" s="3">
        <f t="shared" si="266"/>
        <v>0</v>
      </c>
      <c r="AU58" s="3">
        <f t="shared" ref="AU58:BF58" si="267">IF(AND(AU$5&gt;=$C58,AU$5&lt;=$D58),$E58,0)</f>
        <v>0</v>
      </c>
      <c r="AV58" s="3">
        <f t="shared" si="267"/>
        <v>0</v>
      </c>
      <c r="AW58" s="3">
        <f t="shared" si="267"/>
        <v>0</v>
      </c>
      <c r="AX58" s="3">
        <f t="shared" si="267"/>
        <v>0</v>
      </c>
      <c r="AY58" s="3">
        <f t="shared" si="267"/>
        <v>0</v>
      </c>
      <c r="AZ58" s="3">
        <f t="shared" si="267"/>
        <v>0</v>
      </c>
      <c r="BA58" s="3">
        <f t="shared" si="267"/>
        <v>0</v>
      </c>
      <c r="BB58" s="3">
        <f t="shared" si="267"/>
        <v>0</v>
      </c>
      <c r="BC58" s="3">
        <f t="shared" si="267"/>
        <v>0</v>
      </c>
      <c r="BD58" s="3">
        <f t="shared" si="267"/>
        <v>0</v>
      </c>
      <c r="BE58" s="3">
        <f t="shared" si="267"/>
        <v>0</v>
      </c>
      <c r="BF58" s="3">
        <f t="shared" si="267"/>
        <v>0</v>
      </c>
      <c r="BG58" s="2"/>
      <c r="BH58" s="3">
        <f t="shared" ref="BH58:BS58" si="268">IF(AND(BH$5&gt;=$C58,BH$5&lt;=$D58),$E58,0)</f>
        <v>0</v>
      </c>
      <c r="BI58" s="3">
        <f t="shared" si="268"/>
        <v>0</v>
      </c>
      <c r="BJ58" s="3">
        <f t="shared" si="268"/>
        <v>0</v>
      </c>
      <c r="BK58" s="3">
        <f t="shared" si="268"/>
        <v>0</v>
      </c>
      <c r="BL58" s="3">
        <f t="shared" si="268"/>
        <v>0</v>
      </c>
      <c r="BM58" s="3">
        <f t="shared" si="268"/>
        <v>0</v>
      </c>
      <c r="BN58" s="3">
        <f t="shared" si="268"/>
        <v>0</v>
      </c>
      <c r="BO58" s="3">
        <f t="shared" si="268"/>
        <v>0</v>
      </c>
      <c r="BP58" s="3">
        <f t="shared" si="268"/>
        <v>0</v>
      </c>
      <c r="BQ58" s="3">
        <f t="shared" si="268"/>
        <v>0</v>
      </c>
      <c r="BR58" s="3">
        <f t="shared" si="268"/>
        <v>0</v>
      </c>
      <c r="BS58" s="3">
        <f t="shared" si="268"/>
        <v>0</v>
      </c>
      <c r="BT58" s="2"/>
    </row>
    <row r="59" spans="1:72" ht="15.75" customHeight="1">
      <c r="A59" s="54" t="str">
        <f>IF('Capital purchases'!C63="","",'Capital purchases'!C63)</f>
        <v/>
      </c>
      <c r="B59" s="2"/>
      <c r="C59" s="2" t="str">
        <f>IF($A59="","",'Capital purchases'!B63)</f>
        <v/>
      </c>
      <c r="D59" s="3" t="str">
        <f>IF($A59="","",'Capital purchases'!J63)</f>
        <v/>
      </c>
      <c r="E59" s="161" t="str">
        <f>IF($A59="","",'Capital purchases'!I63)</f>
        <v/>
      </c>
      <c r="H59" s="3">
        <f t="shared" ref="H59:S59" si="269">IF(AND(H$5&gt;=$C59,H$5&lt;=$D59),$E59,0)</f>
        <v>0</v>
      </c>
      <c r="I59" s="3">
        <f t="shared" si="269"/>
        <v>0</v>
      </c>
      <c r="J59" s="3">
        <f t="shared" si="269"/>
        <v>0</v>
      </c>
      <c r="K59" s="3">
        <f t="shared" si="269"/>
        <v>0</v>
      </c>
      <c r="L59" s="3">
        <f t="shared" si="269"/>
        <v>0</v>
      </c>
      <c r="M59" s="3">
        <f t="shared" si="269"/>
        <v>0</v>
      </c>
      <c r="N59" s="3">
        <f t="shared" si="269"/>
        <v>0</v>
      </c>
      <c r="O59" s="3">
        <f t="shared" si="269"/>
        <v>0</v>
      </c>
      <c r="P59" s="3">
        <f t="shared" si="269"/>
        <v>0</v>
      </c>
      <c r="Q59" s="3">
        <f t="shared" si="269"/>
        <v>0</v>
      </c>
      <c r="R59" s="3">
        <f t="shared" si="269"/>
        <v>0</v>
      </c>
      <c r="S59" s="3">
        <f t="shared" si="269"/>
        <v>0</v>
      </c>
      <c r="U59" s="3">
        <f t="shared" ref="U59:AF59" si="270">IF(AND(U$5&gt;=$C59,U$5&lt;=$D59),$E59,0)</f>
        <v>0</v>
      </c>
      <c r="V59" s="3">
        <f t="shared" si="270"/>
        <v>0</v>
      </c>
      <c r="W59" s="3">
        <f t="shared" si="270"/>
        <v>0</v>
      </c>
      <c r="X59" s="3">
        <f t="shared" si="270"/>
        <v>0</v>
      </c>
      <c r="Y59" s="3">
        <f t="shared" si="270"/>
        <v>0</v>
      </c>
      <c r="Z59" s="3">
        <f t="shared" si="270"/>
        <v>0</v>
      </c>
      <c r="AA59" s="3">
        <f t="shared" si="270"/>
        <v>0</v>
      </c>
      <c r="AB59" s="3">
        <f t="shared" si="270"/>
        <v>0</v>
      </c>
      <c r="AC59" s="3">
        <f t="shared" si="270"/>
        <v>0</v>
      </c>
      <c r="AD59" s="3">
        <f t="shared" si="270"/>
        <v>0</v>
      </c>
      <c r="AE59" s="3">
        <f t="shared" si="270"/>
        <v>0</v>
      </c>
      <c r="AF59" s="3">
        <f t="shared" si="270"/>
        <v>0</v>
      </c>
      <c r="AH59" s="3">
        <f t="shared" ref="AH59:AS59" si="271">IF(AND(AH$5&gt;=$C59,AH$5&lt;=$D59),$E59,0)</f>
        <v>0</v>
      </c>
      <c r="AI59" s="3">
        <f t="shared" si="271"/>
        <v>0</v>
      </c>
      <c r="AJ59" s="3">
        <f t="shared" si="271"/>
        <v>0</v>
      </c>
      <c r="AK59" s="3">
        <f t="shared" si="271"/>
        <v>0</v>
      </c>
      <c r="AL59" s="3">
        <f t="shared" si="271"/>
        <v>0</v>
      </c>
      <c r="AM59" s="3">
        <f t="shared" si="271"/>
        <v>0</v>
      </c>
      <c r="AN59" s="3">
        <f t="shared" si="271"/>
        <v>0</v>
      </c>
      <c r="AO59" s="3">
        <f t="shared" si="271"/>
        <v>0</v>
      </c>
      <c r="AP59" s="3">
        <f t="shared" si="271"/>
        <v>0</v>
      </c>
      <c r="AQ59" s="3">
        <f t="shared" si="271"/>
        <v>0</v>
      </c>
      <c r="AR59" s="3">
        <f t="shared" si="271"/>
        <v>0</v>
      </c>
      <c r="AS59" s="3">
        <f t="shared" si="271"/>
        <v>0</v>
      </c>
      <c r="AU59" s="3">
        <f t="shared" ref="AU59:BF59" si="272">IF(AND(AU$5&gt;=$C59,AU$5&lt;=$D59),$E59,0)</f>
        <v>0</v>
      </c>
      <c r="AV59" s="3">
        <f t="shared" si="272"/>
        <v>0</v>
      </c>
      <c r="AW59" s="3">
        <f t="shared" si="272"/>
        <v>0</v>
      </c>
      <c r="AX59" s="3">
        <f t="shared" si="272"/>
        <v>0</v>
      </c>
      <c r="AY59" s="3">
        <f t="shared" si="272"/>
        <v>0</v>
      </c>
      <c r="AZ59" s="3">
        <f t="shared" si="272"/>
        <v>0</v>
      </c>
      <c r="BA59" s="3">
        <f t="shared" si="272"/>
        <v>0</v>
      </c>
      <c r="BB59" s="3">
        <f t="shared" si="272"/>
        <v>0</v>
      </c>
      <c r="BC59" s="3">
        <f t="shared" si="272"/>
        <v>0</v>
      </c>
      <c r="BD59" s="3">
        <f t="shared" si="272"/>
        <v>0</v>
      </c>
      <c r="BE59" s="3">
        <f t="shared" si="272"/>
        <v>0</v>
      </c>
      <c r="BF59" s="3">
        <f t="shared" si="272"/>
        <v>0</v>
      </c>
      <c r="BG59" s="2"/>
      <c r="BH59" s="3">
        <f t="shared" ref="BH59:BS59" si="273">IF(AND(BH$5&gt;=$C59,BH$5&lt;=$D59),$E59,0)</f>
        <v>0</v>
      </c>
      <c r="BI59" s="3">
        <f t="shared" si="273"/>
        <v>0</v>
      </c>
      <c r="BJ59" s="3">
        <f t="shared" si="273"/>
        <v>0</v>
      </c>
      <c r="BK59" s="3">
        <f t="shared" si="273"/>
        <v>0</v>
      </c>
      <c r="BL59" s="3">
        <f t="shared" si="273"/>
        <v>0</v>
      </c>
      <c r="BM59" s="3">
        <f t="shared" si="273"/>
        <v>0</v>
      </c>
      <c r="BN59" s="3">
        <f t="shared" si="273"/>
        <v>0</v>
      </c>
      <c r="BO59" s="3">
        <f t="shared" si="273"/>
        <v>0</v>
      </c>
      <c r="BP59" s="3">
        <f t="shared" si="273"/>
        <v>0</v>
      </c>
      <c r="BQ59" s="3">
        <f t="shared" si="273"/>
        <v>0</v>
      </c>
      <c r="BR59" s="3">
        <f t="shared" si="273"/>
        <v>0</v>
      </c>
      <c r="BS59" s="3">
        <f t="shared" si="273"/>
        <v>0</v>
      </c>
      <c r="BT59" s="2"/>
    </row>
    <row r="60" spans="1:72" ht="15.75" customHeight="1">
      <c r="A60" s="54" t="str">
        <f>IF('Capital purchases'!C64="","",'Capital purchases'!C64)</f>
        <v/>
      </c>
      <c r="B60" s="2"/>
      <c r="C60" s="2" t="str">
        <f>IF($A60="","",'Capital purchases'!B64)</f>
        <v/>
      </c>
      <c r="D60" s="3" t="str">
        <f>IF($A60="","",'Capital purchases'!J64)</f>
        <v/>
      </c>
      <c r="E60" s="161" t="str">
        <f>IF($A60="","",'Capital purchases'!I64)</f>
        <v/>
      </c>
      <c r="H60" s="3">
        <f t="shared" ref="H60:S60" si="274">IF(AND(H$5&gt;=$C60,H$5&lt;=$D60),$E60,0)</f>
        <v>0</v>
      </c>
      <c r="I60" s="3">
        <f t="shared" si="274"/>
        <v>0</v>
      </c>
      <c r="J60" s="3">
        <f t="shared" si="274"/>
        <v>0</v>
      </c>
      <c r="K60" s="3">
        <f t="shared" si="274"/>
        <v>0</v>
      </c>
      <c r="L60" s="3">
        <f t="shared" si="274"/>
        <v>0</v>
      </c>
      <c r="M60" s="3">
        <f t="shared" si="274"/>
        <v>0</v>
      </c>
      <c r="N60" s="3">
        <f t="shared" si="274"/>
        <v>0</v>
      </c>
      <c r="O60" s="3">
        <f t="shared" si="274"/>
        <v>0</v>
      </c>
      <c r="P60" s="3">
        <f t="shared" si="274"/>
        <v>0</v>
      </c>
      <c r="Q60" s="3">
        <f t="shared" si="274"/>
        <v>0</v>
      </c>
      <c r="R60" s="3">
        <f t="shared" si="274"/>
        <v>0</v>
      </c>
      <c r="S60" s="3">
        <f t="shared" si="274"/>
        <v>0</v>
      </c>
      <c r="U60" s="3">
        <f t="shared" ref="U60:AF60" si="275">IF(AND(U$5&gt;=$C60,U$5&lt;=$D60),$E60,0)</f>
        <v>0</v>
      </c>
      <c r="V60" s="3">
        <f t="shared" si="275"/>
        <v>0</v>
      </c>
      <c r="W60" s="3">
        <f t="shared" si="275"/>
        <v>0</v>
      </c>
      <c r="X60" s="3">
        <f t="shared" si="275"/>
        <v>0</v>
      </c>
      <c r="Y60" s="3">
        <f t="shared" si="275"/>
        <v>0</v>
      </c>
      <c r="Z60" s="3">
        <f t="shared" si="275"/>
        <v>0</v>
      </c>
      <c r="AA60" s="3">
        <f t="shared" si="275"/>
        <v>0</v>
      </c>
      <c r="AB60" s="3">
        <f t="shared" si="275"/>
        <v>0</v>
      </c>
      <c r="AC60" s="3">
        <f t="shared" si="275"/>
        <v>0</v>
      </c>
      <c r="AD60" s="3">
        <f t="shared" si="275"/>
        <v>0</v>
      </c>
      <c r="AE60" s="3">
        <f t="shared" si="275"/>
        <v>0</v>
      </c>
      <c r="AF60" s="3">
        <f t="shared" si="275"/>
        <v>0</v>
      </c>
      <c r="AH60" s="3">
        <f t="shared" ref="AH60:AS60" si="276">IF(AND(AH$5&gt;=$C60,AH$5&lt;=$D60),$E60,0)</f>
        <v>0</v>
      </c>
      <c r="AI60" s="3">
        <f t="shared" si="276"/>
        <v>0</v>
      </c>
      <c r="AJ60" s="3">
        <f t="shared" si="276"/>
        <v>0</v>
      </c>
      <c r="AK60" s="3">
        <f t="shared" si="276"/>
        <v>0</v>
      </c>
      <c r="AL60" s="3">
        <f t="shared" si="276"/>
        <v>0</v>
      </c>
      <c r="AM60" s="3">
        <f t="shared" si="276"/>
        <v>0</v>
      </c>
      <c r="AN60" s="3">
        <f t="shared" si="276"/>
        <v>0</v>
      </c>
      <c r="AO60" s="3">
        <f t="shared" si="276"/>
        <v>0</v>
      </c>
      <c r="AP60" s="3">
        <f t="shared" si="276"/>
        <v>0</v>
      </c>
      <c r="AQ60" s="3">
        <f t="shared" si="276"/>
        <v>0</v>
      </c>
      <c r="AR60" s="3">
        <f t="shared" si="276"/>
        <v>0</v>
      </c>
      <c r="AS60" s="3">
        <f t="shared" si="276"/>
        <v>0</v>
      </c>
      <c r="AU60" s="3">
        <f t="shared" ref="AU60:BF60" si="277">IF(AND(AU$5&gt;=$C60,AU$5&lt;=$D60),$E60,0)</f>
        <v>0</v>
      </c>
      <c r="AV60" s="3">
        <f t="shared" si="277"/>
        <v>0</v>
      </c>
      <c r="AW60" s="3">
        <f t="shared" si="277"/>
        <v>0</v>
      </c>
      <c r="AX60" s="3">
        <f t="shared" si="277"/>
        <v>0</v>
      </c>
      <c r="AY60" s="3">
        <f t="shared" si="277"/>
        <v>0</v>
      </c>
      <c r="AZ60" s="3">
        <f t="shared" si="277"/>
        <v>0</v>
      </c>
      <c r="BA60" s="3">
        <f t="shared" si="277"/>
        <v>0</v>
      </c>
      <c r="BB60" s="3">
        <f t="shared" si="277"/>
        <v>0</v>
      </c>
      <c r="BC60" s="3">
        <f t="shared" si="277"/>
        <v>0</v>
      </c>
      <c r="BD60" s="3">
        <f t="shared" si="277"/>
        <v>0</v>
      </c>
      <c r="BE60" s="3">
        <f t="shared" si="277"/>
        <v>0</v>
      </c>
      <c r="BF60" s="3">
        <f t="shared" si="277"/>
        <v>0</v>
      </c>
      <c r="BG60" s="2"/>
      <c r="BH60" s="3">
        <f t="shared" ref="BH60:BS60" si="278">IF(AND(BH$5&gt;=$C60,BH$5&lt;=$D60),$E60,0)</f>
        <v>0</v>
      </c>
      <c r="BI60" s="3">
        <f t="shared" si="278"/>
        <v>0</v>
      </c>
      <c r="BJ60" s="3">
        <f t="shared" si="278"/>
        <v>0</v>
      </c>
      <c r="BK60" s="3">
        <f t="shared" si="278"/>
        <v>0</v>
      </c>
      <c r="BL60" s="3">
        <f t="shared" si="278"/>
        <v>0</v>
      </c>
      <c r="BM60" s="3">
        <f t="shared" si="278"/>
        <v>0</v>
      </c>
      <c r="BN60" s="3">
        <f t="shared" si="278"/>
        <v>0</v>
      </c>
      <c r="BO60" s="3">
        <f t="shared" si="278"/>
        <v>0</v>
      </c>
      <c r="BP60" s="3">
        <f t="shared" si="278"/>
        <v>0</v>
      </c>
      <c r="BQ60" s="3">
        <f t="shared" si="278"/>
        <v>0</v>
      </c>
      <c r="BR60" s="3">
        <f t="shared" si="278"/>
        <v>0</v>
      </c>
      <c r="BS60" s="3">
        <f t="shared" si="278"/>
        <v>0</v>
      </c>
      <c r="BT60" s="2"/>
    </row>
    <row r="61" spans="1:72" ht="15.75" customHeight="1">
      <c r="A61" s="54" t="str">
        <f>IF('Capital purchases'!C65="","",'Capital purchases'!C65)</f>
        <v/>
      </c>
      <c r="B61" s="2"/>
      <c r="C61" s="2" t="str">
        <f>IF($A61="","",'Capital purchases'!B65)</f>
        <v/>
      </c>
      <c r="D61" s="3" t="str">
        <f>IF($A61="","",'Capital purchases'!J65)</f>
        <v/>
      </c>
      <c r="E61" s="161" t="str">
        <f>IF($A61="","",'Capital purchases'!I65)</f>
        <v/>
      </c>
      <c r="H61" s="3">
        <f t="shared" ref="H61:S61" si="279">IF(AND(H$5&gt;=$C61,H$5&lt;=$D61),$E61,0)</f>
        <v>0</v>
      </c>
      <c r="I61" s="3">
        <f t="shared" si="279"/>
        <v>0</v>
      </c>
      <c r="J61" s="3">
        <f t="shared" si="279"/>
        <v>0</v>
      </c>
      <c r="K61" s="3">
        <f t="shared" si="279"/>
        <v>0</v>
      </c>
      <c r="L61" s="3">
        <f t="shared" si="279"/>
        <v>0</v>
      </c>
      <c r="M61" s="3">
        <f t="shared" si="279"/>
        <v>0</v>
      </c>
      <c r="N61" s="3">
        <f t="shared" si="279"/>
        <v>0</v>
      </c>
      <c r="O61" s="3">
        <f t="shared" si="279"/>
        <v>0</v>
      </c>
      <c r="P61" s="3">
        <f t="shared" si="279"/>
        <v>0</v>
      </c>
      <c r="Q61" s="3">
        <f t="shared" si="279"/>
        <v>0</v>
      </c>
      <c r="R61" s="3">
        <f t="shared" si="279"/>
        <v>0</v>
      </c>
      <c r="S61" s="3">
        <f t="shared" si="279"/>
        <v>0</v>
      </c>
      <c r="U61" s="3">
        <f t="shared" ref="U61:AF61" si="280">IF(AND(U$5&gt;=$C61,U$5&lt;=$D61),$E61,0)</f>
        <v>0</v>
      </c>
      <c r="V61" s="3">
        <f t="shared" si="280"/>
        <v>0</v>
      </c>
      <c r="W61" s="3">
        <f t="shared" si="280"/>
        <v>0</v>
      </c>
      <c r="X61" s="3">
        <f t="shared" si="280"/>
        <v>0</v>
      </c>
      <c r="Y61" s="3">
        <f t="shared" si="280"/>
        <v>0</v>
      </c>
      <c r="Z61" s="3">
        <f t="shared" si="280"/>
        <v>0</v>
      </c>
      <c r="AA61" s="3">
        <f t="shared" si="280"/>
        <v>0</v>
      </c>
      <c r="AB61" s="3">
        <f t="shared" si="280"/>
        <v>0</v>
      </c>
      <c r="AC61" s="3">
        <f t="shared" si="280"/>
        <v>0</v>
      </c>
      <c r="AD61" s="3">
        <f t="shared" si="280"/>
        <v>0</v>
      </c>
      <c r="AE61" s="3">
        <f t="shared" si="280"/>
        <v>0</v>
      </c>
      <c r="AF61" s="3">
        <f t="shared" si="280"/>
        <v>0</v>
      </c>
      <c r="AH61" s="3">
        <f t="shared" ref="AH61:AS61" si="281">IF(AND(AH$5&gt;=$C61,AH$5&lt;=$D61),$E61,0)</f>
        <v>0</v>
      </c>
      <c r="AI61" s="3">
        <f t="shared" si="281"/>
        <v>0</v>
      </c>
      <c r="AJ61" s="3">
        <f t="shared" si="281"/>
        <v>0</v>
      </c>
      <c r="AK61" s="3">
        <f t="shared" si="281"/>
        <v>0</v>
      </c>
      <c r="AL61" s="3">
        <f t="shared" si="281"/>
        <v>0</v>
      </c>
      <c r="AM61" s="3">
        <f t="shared" si="281"/>
        <v>0</v>
      </c>
      <c r="AN61" s="3">
        <f t="shared" si="281"/>
        <v>0</v>
      </c>
      <c r="AO61" s="3">
        <f t="shared" si="281"/>
        <v>0</v>
      </c>
      <c r="AP61" s="3">
        <f t="shared" si="281"/>
        <v>0</v>
      </c>
      <c r="AQ61" s="3">
        <f t="shared" si="281"/>
        <v>0</v>
      </c>
      <c r="AR61" s="3">
        <f t="shared" si="281"/>
        <v>0</v>
      </c>
      <c r="AS61" s="3">
        <f t="shared" si="281"/>
        <v>0</v>
      </c>
      <c r="AU61" s="3">
        <f t="shared" ref="AU61:BF61" si="282">IF(AND(AU$5&gt;=$C61,AU$5&lt;=$D61),$E61,0)</f>
        <v>0</v>
      </c>
      <c r="AV61" s="3">
        <f t="shared" si="282"/>
        <v>0</v>
      </c>
      <c r="AW61" s="3">
        <f t="shared" si="282"/>
        <v>0</v>
      </c>
      <c r="AX61" s="3">
        <f t="shared" si="282"/>
        <v>0</v>
      </c>
      <c r="AY61" s="3">
        <f t="shared" si="282"/>
        <v>0</v>
      </c>
      <c r="AZ61" s="3">
        <f t="shared" si="282"/>
        <v>0</v>
      </c>
      <c r="BA61" s="3">
        <f t="shared" si="282"/>
        <v>0</v>
      </c>
      <c r="BB61" s="3">
        <f t="shared" si="282"/>
        <v>0</v>
      </c>
      <c r="BC61" s="3">
        <f t="shared" si="282"/>
        <v>0</v>
      </c>
      <c r="BD61" s="3">
        <f t="shared" si="282"/>
        <v>0</v>
      </c>
      <c r="BE61" s="3">
        <f t="shared" si="282"/>
        <v>0</v>
      </c>
      <c r="BF61" s="3">
        <f t="shared" si="282"/>
        <v>0</v>
      </c>
      <c r="BG61" s="2"/>
      <c r="BH61" s="3">
        <f t="shared" ref="BH61:BS61" si="283">IF(AND(BH$5&gt;=$C61,BH$5&lt;=$D61),$E61,0)</f>
        <v>0</v>
      </c>
      <c r="BI61" s="3">
        <f t="shared" si="283"/>
        <v>0</v>
      </c>
      <c r="BJ61" s="3">
        <f t="shared" si="283"/>
        <v>0</v>
      </c>
      <c r="BK61" s="3">
        <f t="shared" si="283"/>
        <v>0</v>
      </c>
      <c r="BL61" s="3">
        <f t="shared" si="283"/>
        <v>0</v>
      </c>
      <c r="BM61" s="3">
        <f t="shared" si="283"/>
        <v>0</v>
      </c>
      <c r="BN61" s="3">
        <f t="shared" si="283"/>
        <v>0</v>
      </c>
      <c r="BO61" s="3">
        <f t="shared" si="283"/>
        <v>0</v>
      </c>
      <c r="BP61" s="3">
        <f t="shared" si="283"/>
        <v>0</v>
      </c>
      <c r="BQ61" s="3">
        <f t="shared" si="283"/>
        <v>0</v>
      </c>
      <c r="BR61" s="3">
        <f t="shared" si="283"/>
        <v>0</v>
      </c>
      <c r="BS61" s="3">
        <f t="shared" si="283"/>
        <v>0</v>
      </c>
      <c r="BT61" s="2"/>
    </row>
    <row r="62" spans="1:72" ht="15.75" customHeight="1">
      <c r="A62" s="54" t="str">
        <f>IF('Capital purchases'!C66="","",'Capital purchases'!C66)</f>
        <v/>
      </c>
      <c r="B62" s="2"/>
      <c r="C62" s="2" t="str">
        <f>IF($A62="","",'Capital purchases'!B66)</f>
        <v/>
      </c>
      <c r="D62" s="3" t="str">
        <f>IF($A62="","",'Capital purchases'!J66)</f>
        <v/>
      </c>
      <c r="E62" s="161" t="str">
        <f>IF($A62="","",'Capital purchases'!I66)</f>
        <v/>
      </c>
      <c r="H62" s="3">
        <f t="shared" ref="H62:S62" si="284">IF(AND(H$5&gt;=$C62,H$5&lt;=$D62),$E62,0)</f>
        <v>0</v>
      </c>
      <c r="I62" s="3">
        <f t="shared" si="284"/>
        <v>0</v>
      </c>
      <c r="J62" s="3">
        <f t="shared" si="284"/>
        <v>0</v>
      </c>
      <c r="K62" s="3">
        <f t="shared" si="284"/>
        <v>0</v>
      </c>
      <c r="L62" s="3">
        <f t="shared" si="284"/>
        <v>0</v>
      </c>
      <c r="M62" s="3">
        <f t="shared" si="284"/>
        <v>0</v>
      </c>
      <c r="N62" s="3">
        <f t="shared" si="284"/>
        <v>0</v>
      </c>
      <c r="O62" s="3">
        <f t="shared" si="284"/>
        <v>0</v>
      </c>
      <c r="P62" s="3">
        <f t="shared" si="284"/>
        <v>0</v>
      </c>
      <c r="Q62" s="3">
        <f t="shared" si="284"/>
        <v>0</v>
      </c>
      <c r="R62" s="3">
        <f t="shared" si="284"/>
        <v>0</v>
      </c>
      <c r="S62" s="3">
        <f t="shared" si="284"/>
        <v>0</v>
      </c>
      <c r="U62" s="3">
        <f t="shared" ref="U62:AF62" si="285">IF(AND(U$5&gt;=$C62,U$5&lt;=$D62),$E62,0)</f>
        <v>0</v>
      </c>
      <c r="V62" s="3">
        <f t="shared" si="285"/>
        <v>0</v>
      </c>
      <c r="W62" s="3">
        <f t="shared" si="285"/>
        <v>0</v>
      </c>
      <c r="X62" s="3">
        <f t="shared" si="285"/>
        <v>0</v>
      </c>
      <c r="Y62" s="3">
        <f t="shared" si="285"/>
        <v>0</v>
      </c>
      <c r="Z62" s="3">
        <f t="shared" si="285"/>
        <v>0</v>
      </c>
      <c r="AA62" s="3">
        <f t="shared" si="285"/>
        <v>0</v>
      </c>
      <c r="AB62" s="3">
        <f t="shared" si="285"/>
        <v>0</v>
      </c>
      <c r="AC62" s="3">
        <f t="shared" si="285"/>
        <v>0</v>
      </c>
      <c r="AD62" s="3">
        <f t="shared" si="285"/>
        <v>0</v>
      </c>
      <c r="AE62" s="3">
        <f t="shared" si="285"/>
        <v>0</v>
      </c>
      <c r="AF62" s="3">
        <f t="shared" si="285"/>
        <v>0</v>
      </c>
      <c r="AH62" s="3">
        <f t="shared" ref="AH62:AS62" si="286">IF(AND(AH$5&gt;=$C62,AH$5&lt;=$D62),$E62,0)</f>
        <v>0</v>
      </c>
      <c r="AI62" s="3">
        <f t="shared" si="286"/>
        <v>0</v>
      </c>
      <c r="AJ62" s="3">
        <f t="shared" si="286"/>
        <v>0</v>
      </c>
      <c r="AK62" s="3">
        <f t="shared" si="286"/>
        <v>0</v>
      </c>
      <c r="AL62" s="3">
        <f t="shared" si="286"/>
        <v>0</v>
      </c>
      <c r="AM62" s="3">
        <f t="shared" si="286"/>
        <v>0</v>
      </c>
      <c r="AN62" s="3">
        <f t="shared" si="286"/>
        <v>0</v>
      </c>
      <c r="AO62" s="3">
        <f t="shared" si="286"/>
        <v>0</v>
      </c>
      <c r="AP62" s="3">
        <f t="shared" si="286"/>
        <v>0</v>
      </c>
      <c r="AQ62" s="3">
        <f t="shared" si="286"/>
        <v>0</v>
      </c>
      <c r="AR62" s="3">
        <f t="shared" si="286"/>
        <v>0</v>
      </c>
      <c r="AS62" s="3">
        <f t="shared" si="286"/>
        <v>0</v>
      </c>
      <c r="AU62" s="3">
        <f t="shared" ref="AU62:BF62" si="287">IF(AND(AU$5&gt;=$C62,AU$5&lt;=$D62),$E62,0)</f>
        <v>0</v>
      </c>
      <c r="AV62" s="3">
        <f t="shared" si="287"/>
        <v>0</v>
      </c>
      <c r="AW62" s="3">
        <f t="shared" si="287"/>
        <v>0</v>
      </c>
      <c r="AX62" s="3">
        <f t="shared" si="287"/>
        <v>0</v>
      </c>
      <c r="AY62" s="3">
        <f t="shared" si="287"/>
        <v>0</v>
      </c>
      <c r="AZ62" s="3">
        <f t="shared" si="287"/>
        <v>0</v>
      </c>
      <c r="BA62" s="3">
        <f t="shared" si="287"/>
        <v>0</v>
      </c>
      <c r="BB62" s="3">
        <f t="shared" si="287"/>
        <v>0</v>
      </c>
      <c r="BC62" s="3">
        <f t="shared" si="287"/>
        <v>0</v>
      </c>
      <c r="BD62" s="3">
        <f t="shared" si="287"/>
        <v>0</v>
      </c>
      <c r="BE62" s="3">
        <f t="shared" si="287"/>
        <v>0</v>
      </c>
      <c r="BF62" s="3">
        <f t="shared" si="287"/>
        <v>0</v>
      </c>
      <c r="BG62" s="2"/>
      <c r="BH62" s="3">
        <f t="shared" ref="BH62:BS62" si="288">IF(AND(BH$5&gt;=$C62,BH$5&lt;=$D62),$E62,0)</f>
        <v>0</v>
      </c>
      <c r="BI62" s="3">
        <f t="shared" si="288"/>
        <v>0</v>
      </c>
      <c r="BJ62" s="3">
        <f t="shared" si="288"/>
        <v>0</v>
      </c>
      <c r="BK62" s="3">
        <f t="shared" si="288"/>
        <v>0</v>
      </c>
      <c r="BL62" s="3">
        <f t="shared" si="288"/>
        <v>0</v>
      </c>
      <c r="BM62" s="3">
        <f t="shared" si="288"/>
        <v>0</v>
      </c>
      <c r="BN62" s="3">
        <f t="shared" si="288"/>
        <v>0</v>
      </c>
      <c r="BO62" s="3">
        <f t="shared" si="288"/>
        <v>0</v>
      </c>
      <c r="BP62" s="3">
        <f t="shared" si="288"/>
        <v>0</v>
      </c>
      <c r="BQ62" s="3">
        <f t="shared" si="288"/>
        <v>0</v>
      </c>
      <c r="BR62" s="3">
        <f t="shared" si="288"/>
        <v>0</v>
      </c>
      <c r="BS62" s="3">
        <f t="shared" si="288"/>
        <v>0</v>
      </c>
      <c r="BT62" s="2"/>
    </row>
    <row r="63" spans="1:72" ht="15.75" customHeight="1">
      <c r="A63" s="54" t="str">
        <f>IF('Capital purchases'!C67="","",'Capital purchases'!C67)</f>
        <v/>
      </c>
      <c r="B63" s="2"/>
      <c r="C63" s="2" t="str">
        <f>IF($A63="","",'Capital purchases'!B67)</f>
        <v/>
      </c>
      <c r="D63" s="3" t="str">
        <f>IF($A63="","",'Capital purchases'!J67)</f>
        <v/>
      </c>
      <c r="E63" s="161" t="str">
        <f>IF($A63="","",'Capital purchases'!I67)</f>
        <v/>
      </c>
      <c r="H63" s="3">
        <f t="shared" ref="H63:S63" si="289">IF(AND(H$5&gt;=$C63,H$5&lt;=$D63),$E63,0)</f>
        <v>0</v>
      </c>
      <c r="I63" s="3">
        <f t="shared" si="289"/>
        <v>0</v>
      </c>
      <c r="J63" s="3">
        <f t="shared" si="289"/>
        <v>0</v>
      </c>
      <c r="K63" s="3">
        <f t="shared" si="289"/>
        <v>0</v>
      </c>
      <c r="L63" s="3">
        <f t="shared" si="289"/>
        <v>0</v>
      </c>
      <c r="M63" s="3">
        <f t="shared" si="289"/>
        <v>0</v>
      </c>
      <c r="N63" s="3">
        <f t="shared" si="289"/>
        <v>0</v>
      </c>
      <c r="O63" s="3">
        <f t="shared" si="289"/>
        <v>0</v>
      </c>
      <c r="P63" s="3">
        <f t="shared" si="289"/>
        <v>0</v>
      </c>
      <c r="Q63" s="3">
        <f t="shared" si="289"/>
        <v>0</v>
      </c>
      <c r="R63" s="3">
        <f t="shared" si="289"/>
        <v>0</v>
      </c>
      <c r="S63" s="3">
        <f t="shared" si="289"/>
        <v>0</v>
      </c>
      <c r="U63" s="3">
        <f t="shared" ref="U63:AF63" si="290">IF(AND(U$5&gt;=$C63,U$5&lt;=$D63),$E63,0)</f>
        <v>0</v>
      </c>
      <c r="V63" s="3">
        <f t="shared" si="290"/>
        <v>0</v>
      </c>
      <c r="W63" s="3">
        <f t="shared" si="290"/>
        <v>0</v>
      </c>
      <c r="X63" s="3">
        <f t="shared" si="290"/>
        <v>0</v>
      </c>
      <c r="Y63" s="3">
        <f t="shared" si="290"/>
        <v>0</v>
      </c>
      <c r="Z63" s="3">
        <f t="shared" si="290"/>
        <v>0</v>
      </c>
      <c r="AA63" s="3">
        <f t="shared" si="290"/>
        <v>0</v>
      </c>
      <c r="AB63" s="3">
        <f t="shared" si="290"/>
        <v>0</v>
      </c>
      <c r="AC63" s="3">
        <f t="shared" si="290"/>
        <v>0</v>
      </c>
      <c r="AD63" s="3">
        <f t="shared" si="290"/>
        <v>0</v>
      </c>
      <c r="AE63" s="3">
        <f t="shared" si="290"/>
        <v>0</v>
      </c>
      <c r="AF63" s="3">
        <f t="shared" si="290"/>
        <v>0</v>
      </c>
      <c r="AH63" s="3">
        <f t="shared" ref="AH63:AS63" si="291">IF(AND(AH$5&gt;=$C63,AH$5&lt;=$D63),$E63,0)</f>
        <v>0</v>
      </c>
      <c r="AI63" s="3">
        <f t="shared" si="291"/>
        <v>0</v>
      </c>
      <c r="AJ63" s="3">
        <f t="shared" si="291"/>
        <v>0</v>
      </c>
      <c r="AK63" s="3">
        <f t="shared" si="291"/>
        <v>0</v>
      </c>
      <c r="AL63" s="3">
        <f t="shared" si="291"/>
        <v>0</v>
      </c>
      <c r="AM63" s="3">
        <f t="shared" si="291"/>
        <v>0</v>
      </c>
      <c r="AN63" s="3">
        <f t="shared" si="291"/>
        <v>0</v>
      </c>
      <c r="AO63" s="3">
        <f t="shared" si="291"/>
        <v>0</v>
      </c>
      <c r="AP63" s="3">
        <f t="shared" si="291"/>
        <v>0</v>
      </c>
      <c r="AQ63" s="3">
        <f t="shared" si="291"/>
        <v>0</v>
      </c>
      <c r="AR63" s="3">
        <f t="shared" si="291"/>
        <v>0</v>
      </c>
      <c r="AS63" s="3">
        <f t="shared" si="291"/>
        <v>0</v>
      </c>
      <c r="AU63" s="3">
        <f t="shared" ref="AU63:BF63" si="292">IF(AND(AU$5&gt;=$C63,AU$5&lt;=$D63),$E63,0)</f>
        <v>0</v>
      </c>
      <c r="AV63" s="3">
        <f t="shared" si="292"/>
        <v>0</v>
      </c>
      <c r="AW63" s="3">
        <f t="shared" si="292"/>
        <v>0</v>
      </c>
      <c r="AX63" s="3">
        <f t="shared" si="292"/>
        <v>0</v>
      </c>
      <c r="AY63" s="3">
        <f t="shared" si="292"/>
        <v>0</v>
      </c>
      <c r="AZ63" s="3">
        <f t="shared" si="292"/>
        <v>0</v>
      </c>
      <c r="BA63" s="3">
        <f t="shared" si="292"/>
        <v>0</v>
      </c>
      <c r="BB63" s="3">
        <f t="shared" si="292"/>
        <v>0</v>
      </c>
      <c r="BC63" s="3">
        <f t="shared" si="292"/>
        <v>0</v>
      </c>
      <c r="BD63" s="3">
        <f t="shared" si="292"/>
        <v>0</v>
      </c>
      <c r="BE63" s="3">
        <f t="shared" si="292"/>
        <v>0</v>
      </c>
      <c r="BF63" s="3">
        <f t="shared" si="292"/>
        <v>0</v>
      </c>
      <c r="BG63" s="2"/>
      <c r="BH63" s="3">
        <f t="shared" ref="BH63:BS63" si="293">IF(AND(BH$5&gt;=$C63,BH$5&lt;=$D63),$E63,0)</f>
        <v>0</v>
      </c>
      <c r="BI63" s="3">
        <f t="shared" si="293"/>
        <v>0</v>
      </c>
      <c r="BJ63" s="3">
        <f t="shared" si="293"/>
        <v>0</v>
      </c>
      <c r="BK63" s="3">
        <f t="shared" si="293"/>
        <v>0</v>
      </c>
      <c r="BL63" s="3">
        <f t="shared" si="293"/>
        <v>0</v>
      </c>
      <c r="BM63" s="3">
        <f t="shared" si="293"/>
        <v>0</v>
      </c>
      <c r="BN63" s="3">
        <f t="shared" si="293"/>
        <v>0</v>
      </c>
      <c r="BO63" s="3">
        <f t="shared" si="293"/>
        <v>0</v>
      </c>
      <c r="BP63" s="3">
        <f t="shared" si="293"/>
        <v>0</v>
      </c>
      <c r="BQ63" s="3">
        <f t="shared" si="293"/>
        <v>0</v>
      </c>
      <c r="BR63" s="3">
        <f t="shared" si="293"/>
        <v>0</v>
      </c>
      <c r="BS63" s="3">
        <f t="shared" si="293"/>
        <v>0</v>
      </c>
      <c r="BT63" s="2"/>
    </row>
    <row r="64" spans="1:72" ht="15.75" customHeight="1">
      <c r="A64" s="54" t="str">
        <f>IF('Capital purchases'!C68="","",'Capital purchases'!C68)</f>
        <v/>
      </c>
      <c r="B64" s="2"/>
      <c r="C64" s="2" t="str">
        <f>IF($A64="","",'Capital purchases'!B68)</f>
        <v/>
      </c>
      <c r="D64" s="3" t="str">
        <f>IF($A64="","",'Capital purchases'!J68)</f>
        <v/>
      </c>
      <c r="E64" s="161" t="str">
        <f>IF($A64="","",'Capital purchases'!I68)</f>
        <v/>
      </c>
      <c r="H64" s="3">
        <f t="shared" ref="H64:S64" si="294">IF(AND(H$5&gt;=$C64,H$5&lt;=$D64),$E64,0)</f>
        <v>0</v>
      </c>
      <c r="I64" s="3">
        <f t="shared" si="294"/>
        <v>0</v>
      </c>
      <c r="J64" s="3">
        <f t="shared" si="294"/>
        <v>0</v>
      </c>
      <c r="K64" s="3">
        <f t="shared" si="294"/>
        <v>0</v>
      </c>
      <c r="L64" s="3">
        <f t="shared" si="294"/>
        <v>0</v>
      </c>
      <c r="M64" s="3">
        <f t="shared" si="294"/>
        <v>0</v>
      </c>
      <c r="N64" s="3">
        <f t="shared" si="294"/>
        <v>0</v>
      </c>
      <c r="O64" s="3">
        <f t="shared" si="294"/>
        <v>0</v>
      </c>
      <c r="P64" s="3">
        <f t="shared" si="294"/>
        <v>0</v>
      </c>
      <c r="Q64" s="3">
        <f t="shared" si="294"/>
        <v>0</v>
      </c>
      <c r="R64" s="3">
        <f t="shared" si="294"/>
        <v>0</v>
      </c>
      <c r="S64" s="3">
        <f t="shared" si="294"/>
        <v>0</v>
      </c>
      <c r="U64" s="3">
        <f t="shared" ref="U64:AF64" si="295">IF(AND(U$5&gt;=$C64,U$5&lt;=$D64),$E64,0)</f>
        <v>0</v>
      </c>
      <c r="V64" s="3">
        <f t="shared" si="295"/>
        <v>0</v>
      </c>
      <c r="W64" s="3">
        <f t="shared" si="295"/>
        <v>0</v>
      </c>
      <c r="X64" s="3">
        <f t="shared" si="295"/>
        <v>0</v>
      </c>
      <c r="Y64" s="3">
        <f t="shared" si="295"/>
        <v>0</v>
      </c>
      <c r="Z64" s="3">
        <f t="shared" si="295"/>
        <v>0</v>
      </c>
      <c r="AA64" s="3">
        <f t="shared" si="295"/>
        <v>0</v>
      </c>
      <c r="AB64" s="3">
        <f t="shared" si="295"/>
        <v>0</v>
      </c>
      <c r="AC64" s="3">
        <f t="shared" si="295"/>
        <v>0</v>
      </c>
      <c r="AD64" s="3">
        <f t="shared" si="295"/>
        <v>0</v>
      </c>
      <c r="AE64" s="3">
        <f t="shared" si="295"/>
        <v>0</v>
      </c>
      <c r="AF64" s="3">
        <f t="shared" si="295"/>
        <v>0</v>
      </c>
      <c r="AH64" s="3">
        <f t="shared" ref="AH64:AS64" si="296">IF(AND(AH$5&gt;=$C64,AH$5&lt;=$D64),$E64,0)</f>
        <v>0</v>
      </c>
      <c r="AI64" s="3">
        <f t="shared" si="296"/>
        <v>0</v>
      </c>
      <c r="AJ64" s="3">
        <f t="shared" si="296"/>
        <v>0</v>
      </c>
      <c r="AK64" s="3">
        <f t="shared" si="296"/>
        <v>0</v>
      </c>
      <c r="AL64" s="3">
        <f t="shared" si="296"/>
        <v>0</v>
      </c>
      <c r="AM64" s="3">
        <f t="shared" si="296"/>
        <v>0</v>
      </c>
      <c r="AN64" s="3">
        <f t="shared" si="296"/>
        <v>0</v>
      </c>
      <c r="AO64" s="3">
        <f t="shared" si="296"/>
        <v>0</v>
      </c>
      <c r="AP64" s="3">
        <f t="shared" si="296"/>
        <v>0</v>
      </c>
      <c r="AQ64" s="3">
        <f t="shared" si="296"/>
        <v>0</v>
      </c>
      <c r="AR64" s="3">
        <f t="shared" si="296"/>
        <v>0</v>
      </c>
      <c r="AS64" s="3">
        <f t="shared" si="296"/>
        <v>0</v>
      </c>
      <c r="AU64" s="3">
        <f t="shared" ref="AU64:BF64" si="297">IF(AND(AU$5&gt;=$C64,AU$5&lt;=$D64),$E64,0)</f>
        <v>0</v>
      </c>
      <c r="AV64" s="3">
        <f t="shared" si="297"/>
        <v>0</v>
      </c>
      <c r="AW64" s="3">
        <f t="shared" si="297"/>
        <v>0</v>
      </c>
      <c r="AX64" s="3">
        <f t="shared" si="297"/>
        <v>0</v>
      </c>
      <c r="AY64" s="3">
        <f t="shared" si="297"/>
        <v>0</v>
      </c>
      <c r="AZ64" s="3">
        <f t="shared" si="297"/>
        <v>0</v>
      </c>
      <c r="BA64" s="3">
        <f t="shared" si="297"/>
        <v>0</v>
      </c>
      <c r="BB64" s="3">
        <f t="shared" si="297"/>
        <v>0</v>
      </c>
      <c r="BC64" s="3">
        <f t="shared" si="297"/>
        <v>0</v>
      </c>
      <c r="BD64" s="3">
        <f t="shared" si="297"/>
        <v>0</v>
      </c>
      <c r="BE64" s="3">
        <f t="shared" si="297"/>
        <v>0</v>
      </c>
      <c r="BF64" s="3">
        <f t="shared" si="297"/>
        <v>0</v>
      </c>
      <c r="BG64" s="2"/>
      <c r="BH64" s="3">
        <f t="shared" ref="BH64:BS64" si="298">IF(AND(BH$5&gt;=$C64,BH$5&lt;=$D64),$E64,0)</f>
        <v>0</v>
      </c>
      <c r="BI64" s="3">
        <f t="shared" si="298"/>
        <v>0</v>
      </c>
      <c r="BJ64" s="3">
        <f t="shared" si="298"/>
        <v>0</v>
      </c>
      <c r="BK64" s="3">
        <f t="shared" si="298"/>
        <v>0</v>
      </c>
      <c r="BL64" s="3">
        <f t="shared" si="298"/>
        <v>0</v>
      </c>
      <c r="BM64" s="3">
        <f t="shared" si="298"/>
        <v>0</v>
      </c>
      <c r="BN64" s="3">
        <f t="shared" si="298"/>
        <v>0</v>
      </c>
      <c r="BO64" s="3">
        <f t="shared" si="298"/>
        <v>0</v>
      </c>
      <c r="BP64" s="3">
        <f t="shared" si="298"/>
        <v>0</v>
      </c>
      <c r="BQ64" s="3">
        <f t="shared" si="298"/>
        <v>0</v>
      </c>
      <c r="BR64" s="3">
        <f t="shared" si="298"/>
        <v>0</v>
      </c>
      <c r="BS64" s="3">
        <f t="shared" si="298"/>
        <v>0</v>
      </c>
      <c r="BT64" s="2"/>
    </row>
    <row r="65" spans="1:72" ht="15.75" customHeight="1">
      <c r="A65" s="54" t="str">
        <f>IF('Capital purchases'!C69="","",'Capital purchases'!C69)</f>
        <v/>
      </c>
      <c r="B65" s="2"/>
      <c r="C65" s="2" t="str">
        <f>IF($A65="","",'Capital purchases'!B69)</f>
        <v/>
      </c>
      <c r="D65" s="3" t="str">
        <f>IF($A65="","",'Capital purchases'!J69)</f>
        <v/>
      </c>
      <c r="E65" s="161" t="str">
        <f>IF($A65="","",'Capital purchases'!I69)</f>
        <v/>
      </c>
      <c r="H65" s="3">
        <f t="shared" ref="H65:S65" si="299">IF(AND(H$5&gt;=$C65,H$5&lt;=$D65),$E65,0)</f>
        <v>0</v>
      </c>
      <c r="I65" s="3">
        <f t="shared" si="299"/>
        <v>0</v>
      </c>
      <c r="J65" s="3">
        <f t="shared" si="299"/>
        <v>0</v>
      </c>
      <c r="K65" s="3">
        <f t="shared" si="299"/>
        <v>0</v>
      </c>
      <c r="L65" s="3">
        <f t="shared" si="299"/>
        <v>0</v>
      </c>
      <c r="M65" s="3">
        <f t="shared" si="299"/>
        <v>0</v>
      </c>
      <c r="N65" s="3">
        <f t="shared" si="299"/>
        <v>0</v>
      </c>
      <c r="O65" s="3">
        <f t="shared" si="299"/>
        <v>0</v>
      </c>
      <c r="P65" s="3">
        <f t="shared" si="299"/>
        <v>0</v>
      </c>
      <c r="Q65" s="3">
        <f t="shared" si="299"/>
        <v>0</v>
      </c>
      <c r="R65" s="3">
        <f t="shared" si="299"/>
        <v>0</v>
      </c>
      <c r="S65" s="3">
        <f t="shared" si="299"/>
        <v>0</v>
      </c>
      <c r="U65" s="3">
        <f t="shared" ref="U65:AF65" si="300">IF(AND(U$5&gt;=$C65,U$5&lt;=$D65),$E65,0)</f>
        <v>0</v>
      </c>
      <c r="V65" s="3">
        <f t="shared" si="300"/>
        <v>0</v>
      </c>
      <c r="W65" s="3">
        <f t="shared" si="300"/>
        <v>0</v>
      </c>
      <c r="X65" s="3">
        <f t="shared" si="300"/>
        <v>0</v>
      </c>
      <c r="Y65" s="3">
        <f t="shared" si="300"/>
        <v>0</v>
      </c>
      <c r="Z65" s="3">
        <f t="shared" si="300"/>
        <v>0</v>
      </c>
      <c r="AA65" s="3">
        <f t="shared" si="300"/>
        <v>0</v>
      </c>
      <c r="AB65" s="3">
        <f t="shared" si="300"/>
        <v>0</v>
      </c>
      <c r="AC65" s="3">
        <f t="shared" si="300"/>
        <v>0</v>
      </c>
      <c r="AD65" s="3">
        <f t="shared" si="300"/>
        <v>0</v>
      </c>
      <c r="AE65" s="3">
        <f t="shared" si="300"/>
        <v>0</v>
      </c>
      <c r="AF65" s="3">
        <f t="shared" si="300"/>
        <v>0</v>
      </c>
      <c r="AH65" s="3">
        <f t="shared" ref="AH65:AS65" si="301">IF(AND(AH$5&gt;=$C65,AH$5&lt;=$D65),$E65,0)</f>
        <v>0</v>
      </c>
      <c r="AI65" s="3">
        <f t="shared" si="301"/>
        <v>0</v>
      </c>
      <c r="AJ65" s="3">
        <f t="shared" si="301"/>
        <v>0</v>
      </c>
      <c r="AK65" s="3">
        <f t="shared" si="301"/>
        <v>0</v>
      </c>
      <c r="AL65" s="3">
        <f t="shared" si="301"/>
        <v>0</v>
      </c>
      <c r="AM65" s="3">
        <f t="shared" si="301"/>
        <v>0</v>
      </c>
      <c r="AN65" s="3">
        <f t="shared" si="301"/>
        <v>0</v>
      </c>
      <c r="AO65" s="3">
        <f t="shared" si="301"/>
        <v>0</v>
      </c>
      <c r="AP65" s="3">
        <f t="shared" si="301"/>
        <v>0</v>
      </c>
      <c r="AQ65" s="3">
        <f t="shared" si="301"/>
        <v>0</v>
      </c>
      <c r="AR65" s="3">
        <f t="shared" si="301"/>
        <v>0</v>
      </c>
      <c r="AS65" s="3">
        <f t="shared" si="301"/>
        <v>0</v>
      </c>
      <c r="AU65" s="3">
        <f t="shared" ref="AU65:BF65" si="302">IF(AND(AU$5&gt;=$C65,AU$5&lt;=$D65),$E65,0)</f>
        <v>0</v>
      </c>
      <c r="AV65" s="3">
        <f t="shared" si="302"/>
        <v>0</v>
      </c>
      <c r="AW65" s="3">
        <f t="shared" si="302"/>
        <v>0</v>
      </c>
      <c r="AX65" s="3">
        <f t="shared" si="302"/>
        <v>0</v>
      </c>
      <c r="AY65" s="3">
        <f t="shared" si="302"/>
        <v>0</v>
      </c>
      <c r="AZ65" s="3">
        <f t="shared" si="302"/>
        <v>0</v>
      </c>
      <c r="BA65" s="3">
        <f t="shared" si="302"/>
        <v>0</v>
      </c>
      <c r="BB65" s="3">
        <f t="shared" si="302"/>
        <v>0</v>
      </c>
      <c r="BC65" s="3">
        <f t="shared" si="302"/>
        <v>0</v>
      </c>
      <c r="BD65" s="3">
        <f t="shared" si="302"/>
        <v>0</v>
      </c>
      <c r="BE65" s="3">
        <f t="shared" si="302"/>
        <v>0</v>
      </c>
      <c r="BF65" s="3">
        <f t="shared" si="302"/>
        <v>0</v>
      </c>
      <c r="BG65" s="2"/>
      <c r="BH65" s="3">
        <f t="shared" ref="BH65:BS65" si="303">IF(AND(BH$5&gt;=$C65,BH$5&lt;=$D65),$E65,0)</f>
        <v>0</v>
      </c>
      <c r="BI65" s="3">
        <f t="shared" si="303"/>
        <v>0</v>
      </c>
      <c r="BJ65" s="3">
        <f t="shared" si="303"/>
        <v>0</v>
      </c>
      <c r="BK65" s="3">
        <f t="shared" si="303"/>
        <v>0</v>
      </c>
      <c r="BL65" s="3">
        <f t="shared" si="303"/>
        <v>0</v>
      </c>
      <c r="BM65" s="3">
        <f t="shared" si="303"/>
        <v>0</v>
      </c>
      <c r="BN65" s="3">
        <f t="shared" si="303"/>
        <v>0</v>
      </c>
      <c r="BO65" s="3">
        <f t="shared" si="303"/>
        <v>0</v>
      </c>
      <c r="BP65" s="3">
        <f t="shared" si="303"/>
        <v>0</v>
      </c>
      <c r="BQ65" s="3">
        <f t="shared" si="303"/>
        <v>0</v>
      </c>
      <c r="BR65" s="3">
        <f t="shared" si="303"/>
        <v>0</v>
      </c>
      <c r="BS65" s="3">
        <f t="shared" si="303"/>
        <v>0</v>
      </c>
      <c r="BT65" s="2"/>
    </row>
    <row r="66" spans="1:72" ht="15.75" customHeight="1">
      <c r="A66" s="54" t="str">
        <f>IF('Capital purchases'!C70="","",'Capital purchases'!C70)</f>
        <v/>
      </c>
      <c r="B66" s="2"/>
      <c r="C66" s="2" t="str">
        <f>IF($A66="","",'Capital purchases'!B70)</f>
        <v/>
      </c>
      <c r="D66" s="3" t="str">
        <f>IF($A66="","",'Capital purchases'!J70)</f>
        <v/>
      </c>
      <c r="E66" s="161" t="str">
        <f>IF($A66="","",'Capital purchases'!I70)</f>
        <v/>
      </c>
      <c r="H66" s="3">
        <f t="shared" ref="H66:S66" si="304">IF(AND(H$5&gt;=$C66,H$5&lt;=$D66),$E66,0)</f>
        <v>0</v>
      </c>
      <c r="I66" s="3">
        <f t="shared" si="304"/>
        <v>0</v>
      </c>
      <c r="J66" s="3">
        <f t="shared" si="304"/>
        <v>0</v>
      </c>
      <c r="K66" s="3">
        <f t="shared" si="304"/>
        <v>0</v>
      </c>
      <c r="L66" s="3">
        <f t="shared" si="304"/>
        <v>0</v>
      </c>
      <c r="M66" s="3">
        <f t="shared" si="304"/>
        <v>0</v>
      </c>
      <c r="N66" s="3">
        <f t="shared" si="304"/>
        <v>0</v>
      </c>
      <c r="O66" s="3">
        <f t="shared" si="304"/>
        <v>0</v>
      </c>
      <c r="P66" s="3">
        <f t="shared" si="304"/>
        <v>0</v>
      </c>
      <c r="Q66" s="3">
        <f t="shared" si="304"/>
        <v>0</v>
      </c>
      <c r="R66" s="3">
        <f t="shared" si="304"/>
        <v>0</v>
      </c>
      <c r="S66" s="3">
        <f t="shared" si="304"/>
        <v>0</v>
      </c>
      <c r="U66" s="3">
        <f t="shared" ref="U66:AF66" si="305">IF(AND(U$5&gt;=$C66,U$5&lt;=$D66),$E66,0)</f>
        <v>0</v>
      </c>
      <c r="V66" s="3">
        <f t="shared" si="305"/>
        <v>0</v>
      </c>
      <c r="W66" s="3">
        <f t="shared" si="305"/>
        <v>0</v>
      </c>
      <c r="X66" s="3">
        <f t="shared" si="305"/>
        <v>0</v>
      </c>
      <c r="Y66" s="3">
        <f t="shared" si="305"/>
        <v>0</v>
      </c>
      <c r="Z66" s="3">
        <f t="shared" si="305"/>
        <v>0</v>
      </c>
      <c r="AA66" s="3">
        <f t="shared" si="305"/>
        <v>0</v>
      </c>
      <c r="AB66" s="3">
        <f t="shared" si="305"/>
        <v>0</v>
      </c>
      <c r="AC66" s="3">
        <f t="shared" si="305"/>
        <v>0</v>
      </c>
      <c r="AD66" s="3">
        <f t="shared" si="305"/>
        <v>0</v>
      </c>
      <c r="AE66" s="3">
        <f t="shared" si="305"/>
        <v>0</v>
      </c>
      <c r="AF66" s="3">
        <f t="shared" si="305"/>
        <v>0</v>
      </c>
      <c r="AH66" s="3">
        <f t="shared" ref="AH66:AS66" si="306">IF(AND(AH$5&gt;=$C66,AH$5&lt;=$D66),$E66,0)</f>
        <v>0</v>
      </c>
      <c r="AI66" s="3">
        <f t="shared" si="306"/>
        <v>0</v>
      </c>
      <c r="AJ66" s="3">
        <f t="shared" si="306"/>
        <v>0</v>
      </c>
      <c r="AK66" s="3">
        <f t="shared" si="306"/>
        <v>0</v>
      </c>
      <c r="AL66" s="3">
        <f t="shared" si="306"/>
        <v>0</v>
      </c>
      <c r="AM66" s="3">
        <f t="shared" si="306"/>
        <v>0</v>
      </c>
      <c r="AN66" s="3">
        <f t="shared" si="306"/>
        <v>0</v>
      </c>
      <c r="AO66" s="3">
        <f t="shared" si="306"/>
        <v>0</v>
      </c>
      <c r="AP66" s="3">
        <f t="shared" si="306"/>
        <v>0</v>
      </c>
      <c r="AQ66" s="3">
        <f t="shared" si="306"/>
        <v>0</v>
      </c>
      <c r="AR66" s="3">
        <f t="shared" si="306"/>
        <v>0</v>
      </c>
      <c r="AS66" s="3">
        <f t="shared" si="306"/>
        <v>0</v>
      </c>
      <c r="AU66" s="3">
        <f t="shared" ref="AU66:BF66" si="307">IF(AND(AU$5&gt;=$C66,AU$5&lt;=$D66),$E66,0)</f>
        <v>0</v>
      </c>
      <c r="AV66" s="3">
        <f t="shared" si="307"/>
        <v>0</v>
      </c>
      <c r="AW66" s="3">
        <f t="shared" si="307"/>
        <v>0</v>
      </c>
      <c r="AX66" s="3">
        <f t="shared" si="307"/>
        <v>0</v>
      </c>
      <c r="AY66" s="3">
        <f t="shared" si="307"/>
        <v>0</v>
      </c>
      <c r="AZ66" s="3">
        <f t="shared" si="307"/>
        <v>0</v>
      </c>
      <c r="BA66" s="3">
        <f t="shared" si="307"/>
        <v>0</v>
      </c>
      <c r="BB66" s="3">
        <f t="shared" si="307"/>
        <v>0</v>
      </c>
      <c r="BC66" s="3">
        <f t="shared" si="307"/>
        <v>0</v>
      </c>
      <c r="BD66" s="3">
        <f t="shared" si="307"/>
        <v>0</v>
      </c>
      <c r="BE66" s="3">
        <f t="shared" si="307"/>
        <v>0</v>
      </c>
      <c r="BF66" s="3">
        <f t="shared" si="307"/>
        <v>0</v>
      </c>
      <c r="BG66" s="2"/>
      <c r="BH66" s="3">
        <f t="shared" ref="BH66:BS66" si="308">IF(AND(BH$5&gt;=$C66,BH$5&lt;=$D66),$E66,0)</f>
        <v>0</v>
      </c>
      <c r="BI66" s="3">
        <f t="shared" si="308"/>
        <v>0</v>
      </c>
      <c r="BJ66" s="3">
        <f t="shared" si="308"/>
        <v>0</v>
      </c>
      <c r="BK66" s="3">
        <f t="shared" si="308"/>
        <v>0</v>
      </c>
      <c r="BL66" s="3">
        <f t="shared" si="308"/>
        <v>0</v>
      </c>
      <c r="BM66" s="3">
        <f t="shared" si="308"/>
        <v>0</v>
      </c>
      <c r="BN66" s="3">
        <f t="shared" si="308"/>
        <v>0</v>
      </c>
      <c r="BO66" s="3">
        <f t="shared" si="308"/>
        <v>0</v>
      </c>
      <c r="BP66" s="3">
        <f t="shared" si="308"/>
        <v>0</v>
      </c>
      <c r="BQ66" s="3">
        <f t="shared" si="308"/>
        <v>0</v>
      </c>
      <c r="BR66" s="3">
        <f t="shared" si="308"/>
        <v>0</v>
      </c>
      <c r="BS66" s="3">
        <f t="shared" si="308"/>
        <v>0</v>
      </c>
      <c r="BT66" s="2"/>
    </row>
    <row r="67" spans="1:72" ht="15.75" customHeight="1">
      <c r="A67" s="54" t="str">
        <f>IF('Capital purchases'!C71="","",'Capital purchases'!C71)</f>
        <v/>
      </c>
      <c r="B67" s="2"/>
      <c r="C67" s="2" t="str">
        <f>IF($A67="","",'Capital purchases'!B71)</f>
        <v/>
      </c>
      <c r="D67" s="3" t="str">
        <f>IF($A67="","",'Capital purchases'!J71)</f>
        <v/>
      </c>
      <c r="E67" s="161" t="str">
        <f>IF($A67="","",'Capital purchases'!I71)</f>
        <v/>
      </c>
      <c r="H67" s="3">
        <f t="shared" ref="H67:S67" si="309">IF(AND(H$5&gt;=$C67,H$5&lt;=$D67),$E67,0)</f>
        <v>0</v>
      </c>
      <c r="I67" s="3">
        <f t="shared" si="309"/>
        <v>0</v>
      </c>
      <c r="J67" s="3">
        <f t="shared" si="309"/>
        <v>0</v>
      </c>
      <c r="K67" s="3">
        <f t="shared" si="309"/>
        <v>0</v>
      </c>
      <c r="L67" s="3">
        <f t="shared" si="309"/>
        <v>0</v>
      </c>
      <c r="M67" s="3">
        <f t="shared" si="309"/>
        <v>0</v>
      </c>
      <c r="N67" s="3">
        <f t="shared" si="309"/>
        <v>0</v>
      </c>
      <c r="O67" s="3">
        <f t="shared" si="309"/>
        <v>0</v>
      </c>
      <c r="P67" s="3">
        <f t="shared" si="309"/>
        <v>0</v>
      </c>
      <c r="Q67" s="3">
        <f t="shared" si="309"/>
        <v>0</v>
      </c>
      <c r="R67" s="3">
        <f t="shared" si="309"/>
        <v>0</v>
      </c>
      <c r="S67" s="3">
        <f t="shared" si="309"/>
        <v>0</v>
      </c>
      <c r="U67" s="3">
        <f t="shared" ref="U67:AF67" si="310">IF(AND(U$5&gt;=$C67,U$5&lt;=$D67),$E67,0)</f>
        <v>0</v>
      </c>
      <c r="V67" s="3">
        <f t="shared" si="310"/>
        <v>0</v>
      </c>
      <c r="W67" s="3">
        <f t="shared" si="310"/>
        <v>0</v>
      </c>
      <c r="X67" s="3">
        <f t="shared" si="310"/>
        <v>0</v>
      </c>
      <c r="Y67" s="3">
        <f t="shared" si="310"/>
        <v>0</v>
      </c>
      <c r="Z67" s="3">
        <f t="shared" si="310"/>
        <v>0</v>
      </c>
      <c r="AA67" s="3">
        <f t="shared" si="310"/>
        <v>0</v>
      </c>
      <c r="AB67" s="3">
        <f t="shared" si="310"/>
        <v>0</v>
      </c>
      <c r="AC67" s="3">
        <f t="shared" si="310"/>
        <v>0</v>
      </c>
      <c r="AD67" s="3">
        <f t="shared" si="310"/>
        <v>0</v>
      </c>
      <c r="AE67" s="3">
        <f t="shared" si="310"/>
        <v>0</v>
      </c>
      <c r="AF67" s="3">
        <f t="shared" si="310"/>
        <v>0</v>
      </c>
      <c r="AH67" s="3">
        <f t="shared" ref="AH67:AS67" si="311">IF(AND(AH$5&gt;=$C67,AH$5&lt;=$D67),$E67,0)</f>
        <v>0</v>
      </c>
      <c r="AI67" s="3">
        <f t="shared" si="311"/>
        <v>0</v>
      </c>
      <c r="AJ67" s="3">
        <f t="shared" si="311"/>
        <v>0</v>
      </c>
      <c r="AK67" s="3">
        <f t="shared" si="311"/>
        <v>0</v>
      </c>
      <c r="AL67" s="3">
        <f t="shared" si="311"/>
        <v>0</v>
      </c>
      <c r="AM67" s="3">
        <f t="shared" si="311"/>
        <v>0</v>
      </c>
      <c r="AN67" s="3">
        <f t="shared" si="311"/>
        <v>0</v>
      </c>
      <c r="AO67" s="3">
        <f t="shared" si="311"/>
        <v>0</v>
      </c>
      <c r="AP67" s="3">
        <f t="shared" si="311"/>
        <v>0</v>
      </c>
      <c r="AQ67" s="3">
        <f t="shared" si="311"/>
        <v>0</v>
      </c>
      <c r="AR67" s="3">
        <f t="shared" si="311"/>
        <v>0</v>
      </c>
      <c r="AS67" s="3">
        <f t="shared" si="311"/>
        <v>0</v>
      </c>
      <c r="AU67" s="3">
        <f t="shared" ref="AU67:BF67" si="312">IF(AND(AU$5&gt;=$C67,AU$5&lt;=$D67),$E67,0)</f>
        <v>0</v>
      </c>
      <c r="AV67" s="3">
        <f t="shared" si="312"/>
        <v>0</v>
      </c>
      <c r="AW67" s="3">
        <f t="shared" si="312"/>
        <v>0</v>
      </c>
      <c r="AX67" s="3">
        <f t="shared" si="312"/>
        <v>0</v>
      </c>
      <c r="AY67" s="3">
        <f t="shared" si="312"/>
        <v>0</v>
      </c>
      <c r="AZ67" s="3">
        <f t="shared" si="312"/>
        <v>0</v>
      </c>
      <c r="BA67" s="3">
        <f t="shared" si="312"/>
        <v>0</v>
      </c>
      <c r="BB67" s="3">
        <f t="shared" si="312"/>
        <v>0</v>
      </c>
      <c r="BC67" s="3">
        <f t="shared" si="312"/>
        <v>0</v>
      </c>
      <c r="BD67" s="3">
        <f t="shared" si="312"/>
        <v>0</v>
      </c>
      <c r="BE67" s="3">
        <f t="shared" si="312"/>
        <v>0</v>
      </c>
      <c r="BF67" s="3">
        <f t="shared" si="312"/>
        <v>0</v>
      </c>
      <c r="BG67" s="2"/>
      <c r="BH67" s="3">
        <f t="shared" ref="BH67:BS67" si="313">IF(AND(BH$5&gt;=$C67,BH$5&lt;=$D67),$E67,0)</f>
        <v>0</v>
      </c>
      <c r="BI67" s="3">
        <f t="shared" si="313"/>
        <v>0</v>
      </c>
      <c r="BJ67" s="3">
        <f t="shared" si="313"/>
        <v>0</v>
      </c>
      <c r="BK67" s="3">
        <f t="shared" si="313"/>
        <v>0</v>
      </c>
      <c r="BL67" s="3">
        <f t="shared" si="313"/>
        <v>0</v>
      </c>
      <c r="BM67" s="3">
        <f t="shared" si="313"/>
        <v>0</v>
      </c>
      <c r="BN67" s="3">
        <f t="shared" si="313"/>
        <v>0</v>
      </c>
      <c r="BO67" s="3">
        <f t="shared" si="313"/>
        <v>0</v>
      </c>
      <c r="BP67" s="3">
        <f t="shared" si="313"/>
        <v>0</v>
      </c>
      <c r="BQ67" s="3">
        <f t="shared" si="313"/>
        <v>0</v>
      </c>
      <c r="BR67" s="3">
        <f t="shared" si="313"/>
        <v>0</v>
      </c>
      <c r="BS67" s="3">
        <f t="shared" si="313"/>
        <v>0</v>
      </c>
      <c r="BT67" s="2"/>
    </row>
    <row r="68" spans="1:72" ht="15.75" customHeight="1">
      <c r="A68" s="54" t="str">
        <f>IF('Capital purchases'!C72="","",'Capital purchases'!C72)</f>
        <v/>
      </c>
      <c r="B68" s="2"/>
      <c r="C68" s="2" t="str">
        <f>IF($A68="","",'Capital purchases'!B72)</f>
        <v/>
      </c>
      <c r="D68" s="3" t="str">
        <f>IF($A68="","",'Capital purchases'!J72)</f>
        <v/>
      </c>
      <c r="E68" s="161" t="str">
        <f>IF($A68="","",'Capital purchases'!I72)</f>
        <v/>
      </c>
      <c r="H68" s="3">
        <f t="shared" ref="H68:S68" si="314">IF(AND(H$5&gt;=$C68,H$5&lt;=$D68),$E68,0)</f>
        <v>0</v>
      </c>
      <c r="I68" s="3">
        <f t="shared" si="314"/>
        <v>0</v>
      </c>
      <c r="J68" s="3">
        <f t="shared" si="314"/>
        <v>0</v>
      </c>
      <c r="K68" s="3">
        <f t="shared" si="314"/>
        <v>0</v>
      </c>
      <c r="L68" s="3">
        <f t="shared" si="314"/>
        <v>0</v>
      </c>
      <c r="M68" s="3">
        <f t="shared" si="314"/>
        <v>0</v>
      </c>
      <c r="N68" s="3">
        <f t="shared" si="314"/>
        <v>0</v>
      </c>
      <c r="O68" s="3">
        <f t="shared" si="314"/>
        <v>0</v>
      </c>
      <c r="P68" s="3">
        <f t="shared" si="314"/>
        <v>0</v>
      </c>
      <c r="Q68" s="3">
        <f t="shared" si="314"/>
        <v>0</v>
      </c>
      <c r="R68" s="3">
        <f t="shared" si="314"/>
        <v>0</v>
      </c>
      <c r="S68" s="3">
        <f t="shared" si="314"/>
        <v>0</v>
      </c>
      <c r="U68" s="3">
        <f t="shared" ref="U68:AF68" si="315">IF(AND(U$5&gt;=$C68,U$5&lt;=$D68),$E68,0)</f>
        <v>0</v>
      </c>
      <c r="V68" s="3">
        <f t="shared" si="315"/>
        <v>0</v>
      </c>
      <c r="W68" s="3">
        <f t="shared" si="315"/>
        <v>0</v>
      </c>
      <c r="X68" s="3">
        <f t="shared" si="315"/>
        <v>0</v>
      </c>
      <c r="Y68" s="3">
        <f t="shared" si="315"/>
        <v>0</v>
      </c>
      <c r="Z68" s="3">
        <f t="shared" si="315"/>
        <v>0</v>
      </c>
      <c r="AA68" s="3">
        <f t="shared" si="315"/>
        <v>0</v>
      </c>
      <c r="AB68" s="3">
        <f t="shared" si="315"/>
        <v>0</v>
      </c>
      <c r="AC68" s="3">
        <f t="shared" si="315"/>
        <v>0</v>
      </c>
      <c r="AD68" s="3">
        <f t="shared" si="315"/>
        <v>0</v>
      </c>
      <c r="AE68" s="3">
        <f t="shared" si="315"/>
        <v>0</v>
      </c>
      <c r="AF68" s="3">
        <f t="shared" si="315"/>
        <v>0</v>
      </c>
      <c r="AH68" s="3">
        <f t="shared" ref="AH68:AS68" si="316">IF(AND(AH$5&gt;=$C68,AH$5&lt;=$D68),$E68,0)</f>
        <v>0</v>
      </c>
      <c r="AI68" s="3">
        <f t="shared" si="316"/>
        <v>0</v>
      </c>
      <c r="AJ68" s="3">
        <f t="shared" si="316"/>
        <v>0</v>
      </c>
      <c r="AK68" s="3">
        <f t="shared" si="316"/>
        <v>0</v>
      </c>
      <c r="AL68" s="3">
        <f t="shared" si="316"/>
        <v>0</v>
      </c>
      <c r="AM68" s="3">
        <f t="shared" si="316"/>
        <v>0</v>
      </c>
      <c r="AN68" s="3">
        <f t="shared" si="316"/>
        <v>0</v>
      </c>
      <c r="AO68" s="3">
        <f t="shared" si="316"/>
        <v>0</v>
      </c>
      <c r="AP68" s="3">
        <f t="shared" si="316"/>
        <v>0</v>
      </c>
      <c r="AQ68" s="3">
        <f t="shared" si="316"/>
        <v>0</v>
      </c>
      <c r="AR68" s="3">
        <f t="shared" si="316"/>
        <v>0</v>
      </c>
      <c r="AS68" s="3">
        <f t="shared" si="316"/>
        <v>0</v>
      </c>
      <c r="AU68" s="3">
        <f t="shared" ref="AU68:BF68" si="317">IF(AND(AU$5&gt;=$C68,AU$5&lt;=$D68),$E68,0)</f>
        <v>0</v>
      </c>
      <c r="AV68" s="3">
        <f t="shared" si="317"/>
        <v>0</v>
      </c>
      <c r="AW68" s="3">
        <f t="shared" si="317"/>
        <v>0</v>
      </c>
      <c r="AX68" s="3">
        <f t="shared" si="317"/>
        <v>0</v>
      </c>
      <c r="AY68" s="3">
        <f t="shared" si="317"/>
        <v>0</v>
      </c>
      <c r="AZ68" s="3">
        <f t="shared" si="317"/>
        <v>0</v>
      </c>
      <c r="BA68" s="3">
        <f t="shared" si="317"/>
        <v>0</v>
      </c>
      <c r="BB68" s="3">
        <f t="shared" si="317"/>
        <v>0</v>
      </c>
      <c r="BC68" s="3">
        <f t="shared" si="317"/>
        <v>0</v>
      </c>
      <c r="BD68" s="3">
        <f t="shared" si="317"/>
        <v>0</v>
      </c>
      <c r="BE68" s="3">
        <f t="shared" si="317"/>
        <v>0</v>
      </c>
      <c r="BF68" s="3">
        <f t="shared" si="317"/>
        <v>0</v>
      </c>
      <c r="BG68" s="2"/>
      <c r="BH68" s="3">
        <f t="shared" ref="BH68:BS68" si="318">IF(AND(BH$5&gt;=$C68,BH$5&lt;=$D68),$E68,0)</f>
        <v>0</v>
      </c>
      <c r="BI68" s="3">
        <f t="shared" si="318"/>
        <v>0</v>
      </c>
      <c r="BJ68" s="3">
        <f t="shared" si="318"/>
        <v>0</v>
      </c>
      <c r="BK68" s="3">
        <f t="shared" si="318"/>
        <v>0</v>
      </c>
      <c r="BL68" s="3">
        <f t="shared" si="318"/>
        <v>0</v>
      </c>
      <c r="BM68" s="3">
        <f t="shared" si="318"/>
        <v>0</v>
      </c>
      <c r="BN68" s="3">
        <f t="shared" si="318"/>
        <v>0</v>
      </c>
      <c r="BO68" s="3">
        <f t="shared" si="318"/>
        <v>0</v>
      </c>
      <c r="BP68" s="3">
        <f t="shared" si="318"/>
        <v>0</v>
      </c>
      <c r="BQ68" s="3">
        <f t="shared" si="318"/>
        <v>0</v>
      </c>
      <c r="BR68" s="3">
        <f t="shared" si="318"/>
        <v>0</v>
      </c>
      <c r="BS68" s="3">
        <f t="shared" si="318"/>
        <v>0</v>
      </c>
      <c r="BT68" s="2"/>
    </row>
    <row r="69" spans="1:72" ht="15.75" customHeight="1">
      <c r="A69" s="54" t="str">
        <f>IF('Capital purchases'!C73="","",'Capital purchases'!C73)</f>
        <v/>
      </c>
      <c r="B69" s="2"/>
      <c r="C69" s="2" t="str">
        <f>IF($A69="","",'Capital purchases'!B73)</f>
        <v/>
      </c>
      <c r="D69" s="3" t="str">
        <f>IF($A69="","",'Capital purchases'!J73)</f>
        <v/>
      </c>
      <c r="E69" s="161" t="str">
        <f>IF($A69="","",'Capital purchases'!I73)</f>
        <v/>
      </c>
      <c r="H69" s="3">
        <f t="shared" ref="H69:S69" si="319">IF(AND(H$5&gt;=$C69,H$5&lt;=$D69),$E69,0)</f>
        <v>0</v>
      </c>
      <c r="I69" s="3">
        <f t="shared" si="319"/>
        <v>0</v>
      </c>
      <c r="J69" s="3">
        <f t="shared" si="319"/>
        <v>0</v>
      </c>
      <c r="K69" s="3">
        <f t="shared" si="319"/>
        <v>0</v>
      </c>
      <c r="L69" s="3">
        <f t="shared" si="319"/>
        <v>0</v>
      </c>
      <c r="M69" s="3">
        <f t="shared" si="319"/>
        <v>0</v>
      </c>
      <c r="N69" s="3">
        <f t="shared" si="319"/>
        <v>0</v>
      </c>
      <c r="O69" s="3">
        <f t="shared" si="319"/>
        <v>0</v>
      </c>
      <c r="P69" s="3">
        <f t="shared" si="319"/>
        <v>0</v>
      </c>
      <c r="Q69" s="3">
        <f t="shared" si="319"/>
        <v>0</v>
      </c>
      <c r="R69" s="3">
        <f t="shared" si="319"/>
        <v>0</v>
      </c>
      <c r="S69" s="3">
        <f t="shared" si="319"/>
        <v>0</v>
      </c>
      <c r="U69" s="3">
        <f t="shared" ref="U69:AF69" si="320">IF(AND(U$5&gt;=$C69,U$5&lt;=$D69),$E69,0)</f>
        <v>0</v>
      </c>
      <c r="V69" s="3">
        <f t="shared" si="320"/>
        <v>0</v>
      </c>
      <c r="W69" s="3">
        <f t="shared" si="320"/>
        <v>0</v>
      </c>
      <c r="X69" s="3">
        <f t="shared" si="320"/>
        <v>0</v>
      </c>
      <c r="Y69" s="3">
        <f t="shared" si="320"/>
        <v>0</v>
      </c>
      <c r="Z69" s="3">
        <f t="shared" si="320"/>
        <v>0</v>
      </c>
      <c r="AA69" s="3">
        <f t="shared" si="320"/>
        <v>0</v>
      </c>
      <c r="AB69" s="3">
        <f t="shared" si="320"/>
        <v>0</v>
      </c>
      <c r="AC69" s="3">
        <f t="shared" si="320"/>
        <v>0</v>
      </c>
      <c r="AD69" s="3">
        <f t="shared" si="320"/>
        <v>0</v>
      </c>
      <c r="AE69" s="3">
        <f t="shared" si="320"/>
        <v>0</v>
      </c>
      <c r="AF69" s="3">
        <f t="shared" si="320"/>
        <v>0</v>
      </c>
      <c r="AH69" s="3">
        <f t="shared" ref="AH69:AS69" si="321">IF(AND(AH$5&gt;=$C69,AH$5&lt;=$D69),$E69,0)</f>
        <v>0</v>
      </c>
      <c r="AI69" s="3">
        <f t="shared" si="321"/>
        <v>0</v>
      </c>
      <c r="AJ69" s="3">
        <f t="shared" si="321"/>
        <v>0</v>
      </c>
      <c r="AK69" s="3">
        <f t="shared" si="321"/>
        <v>0</v>
      </c>
      <c r="AL69" s="3">
        <f t="shared" si="321"/>
        <v>0</v>
      </c>
      <c r="AM69" s="3">
        <f t="shared" si="321"/>
        <v>0</v>
      </c>
      <c r="AN69" s="3">
        <f t="shared" si="321"/>
        <v>0</v>
      </c>
      <c r="AO69" s="3">
        <f t="shared" si="321"/>
        <v>0</v>
      </c>
      <c r="AP69" s="3">
        <f t="shared" si="321"/>
        <v>0</v>
      </c>
      <c r="AQ69" s="3">
        <f t="shared" si="321"/>
        <v>0</v>
      </c>
      <c r="AR69" s="3">
        <f t="shared" si="321"/>
        <v>0</v>
      </c>
      <c r="AS69" s="3">
        <f t="shared" si="321"/>
        <v>0</v>
      </c>
      <c r="AU69" s="3">
        <f t="shared" ref="AU69:BF69" si="322">IF(AND(AU$5&gt;=$C69,AU$5&lt;=$D69),$E69,0)</f>
        <v>0</v>
      </c>
      <c r="AV69" s="3">
        <f t="shared" si="322"/>
        <v>0</v>
      </c>
      <c r="AW69" s="3">
        <f t="shared" si="322"/>
        <v>0</v>
      </c>
      <c r="AX69" s="3">
        <f t="shared" si="322"/>
        <v>0</v>
      </c>
      <c r="AY69" s="3">
        <f t="shared" si="322"/>
        <v>0</v>
      </c>
      <c r="AZ69" s="3">
        <f t="shared" si="322"/>
        <v>0</v>
      </c>
      <c r="BA69" s="3">
        <f t="shared" si="322"/>
        <v>0</v>
      </c>
      <c r="BB69" s="3">
        <f t="shared" si="322"/>
        <v>0</v>
      </c>
      <c r="BC69" s="3">
        <f t="shared" si="322"/>
        <v>0</v>
      </c>
      <c r="BD69" s="3">
        <f t="shared" si="322"/>
        <v>0</v>
      </c>
      <c r="BE69" s="3">
        <f t="shared" si="322"/>
        <v>0</v>
      </c>
      <c r="BF69" s="3">
        <f t="shared" si="322"/>
        <v>0</v>
      </c>
      <c r="BG69" s="2"/>
      <c r="BH69" s="3">
        <f t="shared" ref="BH69:BS69" si="323">IF(AND(BH$5&gt;=$C69,BH$5&lt;=$D69),$E69,0)</f>
        <v>0</v>
      </c>
      <c r="BI69" s="3">
        <f t="shared" si="323"/>
        <v>0</v>
      </c>
      <c r="BJ69" s="3">
        <f t="shared" si="323"/>
        <v>0</v>
      </c>
      <c r="BK69" s="3">
        <f t="shared" si="323"/>
        <v>0</v>
      </c>
      <c r="BL69" s="3">
        <f t="shared" si="323"/>
        <v>0</v>
      </c>
      <c r="BM69" s="3">
        <f t="shared" si="323"/>
        <v>0</v>
      </c>
      <c r="BN69" s="3">
        <f t="shared" si="323"/>
        <v>0</v>
      </c>
      <c r="BO69" s="3">
        <f t="shared" si="323"/>
        <v>0</v>
      </c>
      <c r="BP69" s="3">
        <f t="shared" si="323"/>
        <v>0</v>
      </c>
      <c r="BQ69" s="3">
        <f t="shared" si="323"/>
        <v>0</v>
      </c>
      <c r="BR69" s="3">
        <f t="shared" si="323"/>
        <v>0</v>
      </c>
      <c r="BS69" s="3">
        <f t="shared" si="323"/>
        <v>0</v>
      </c>
      <c r="BT69" s="2"/>
    </row>
    <row r="70" spans="1:72" ht="15.75" customHeight="1">
      <c r="A70" s="54" t="str">
        <f>IF('Capital purchases'!C74="","",'Capital purchases'!C74)</f>
        <v/>
      </c>
      <c r="B70" s="2"/>
      <c r="C70" s="2" t="str">
        <f>IF($A70="","",'Capital purchases'!B74)</f>
        <v/>
      </c>
      <c r="D70" s="3" t="str">
        <f>IF($A70="","",'Capital purchases'!J74)</f>
        <v/>
      </c>
      <c r="E70" s="161" t="str">
        <f>IF($A70="","",'Capital purchases'!I74)</f>
        <v/>
      </c>
      <c r="H70" s="3">
        <f t="shared" ref="H70:S70" si="324">IF(AND(H$5&gt;=$C70,H$5&lt;=$D70),$E70,0)</f>
        <v>0</v>
      </c>
      <c r="I70" s="3">
        <f t="shared" si="324"/>
        <v>0</v>
      </c>
      <c r="J70" s="3">
        <f t="shared" si="324"/>
        <v>0</v>
      </c>
      <c r="K70" s="3">
        <f t="shared" si="324"/>
        <v>0</v>
      </c>
      <c r="L70" s="3">
        <f t="shared" si="324"/>
        <v>0</v>
      </c>
      <c r="M70" s="3">
        <f t="shared" si="324"/>
        <v>0</v>
      </c>
      <c r="N70" s="3">
        <f t="shared" si="324"/>
        <v>0</v>
      </c>
      <c r="O70" s="3">
        <f t="shared" si="324"/>
        <v>0</v>
      </c>
      <c r="P70" s="3">
        <f t="shared" si="324"/>
        <v>0</v>
      </c>
      <c r="Q70" s="3">
        <f t="shared" si="324"/>
        <v>0</v>
      </c>
      <c r="R70" s="3">
        <f t="shared" si="324"/>
        <v>0</v>
      </c>
      <c r="S70" s="3">
        <f t="shared" si="324"/>
        <v>0</v>
      </c>
      <c r="U70" s="3">
        <f t="shared" ref="U70:AF70" si="325">IF(AND(U$5&gt;=$C70,U$5&lt;=$D70),$E70,0)</f>
        <v>0</v>
      </c>
      <c r="V70" s="3">
        <f t="shared" si="325"/>
        <v>0</v>
      </c>
      <c r="W70" s="3">
        <f t="shared" si="325"/>
        <v>0</v>
      </c>
      <c r="X70" s="3">
        <f t="shared" si="325"/>
        <v>0</v>
      </c>
      <c r="Y70" s="3">
        <f t="shared" si="325"/>
        <v>0</v>
      </c>
      <c r="Z70" s="3">
        <f t="shared" si="325"/>
        <v>0</v>
      </c>
      <c r="AA70" s="3">
        <f t="shared" si="325"/>
        <v>0</v>
      </c>
      <c r="AB70" s="3">
        <f t="shared" si="325"/>
        <v>0</v>
      </c>
      <c r="AC70" s="3">
        <f t="shared" si="325"/>
        <v>0</v>
      </c>
      <c r="AD70" s="3">
        <f t="shared" si="325"/>
        <v>0</v>
      </c>
      <c r="AE70" s="3">
        <f t="shared" si="325"/>
        <v>0</v>
      </c>
      <c r="AF70" s="3">
        <f t="shared" si="325"/>
        <v>0</v>
      </c>
      <c r="AH70" s="3">
        <f t="shared" ref="AH70:AS70" si="326">IF(AND(AH$5&gt;=$C70,AH$5&lt;=$D70),$E70,0)</f>
        <v>0</v>
      </c>
      <c r="AI70" s="3">
        <f t="shared" si="326"/>
        <v>0</v>
      </c>
      <c r="AJ70" s="3">
        <f t="shared" si="326"/>
        <v>0</v>
      </c>
      <c r="AK70" s="3">
        <f t="shared" si="326"/>
        <v>0</v>
      </c>
      <c r="AL70" s="3">
        <f t="shared" si="326"/>
        <v>0</v>
      </c>
      <c r="AM70" s="3">
        <f t="shared" si="326"/>
        <v>0</v>
      </c>
      <c r="AN70" s="3">
        <f t="shared" si="326"/>
        <v>0</v>
      </c>
      <c r="AO70" s="3">
        <f t="shared" si="326"/>
        <v>0</v>
      </c>
      <c r="AP70" s="3">
        <f t="shared" si="326"/>
        <v>0</v>
      </c>
      <c r="AQ70" s="3">
        <f t="shared" si="326"/>
        <v>0</v>
      </c>
      <c r="AR70" s="3">
        <f t="shared" si="326"/>
        <v>0</v>
      </c>
      <c r="AS70" s="3">
        <f t="shared" si="326"/>
        <v>0</v>
      </c>
      <c r="AU70" s="3">
        <f t="shared" ref="AU70:BF70" si="327">IF(AND(AU$5&gt;=$C70,AU$5&lt;=$D70),$E70,0)</f>
        <v>0</v>
      </c>
      <c r="AV70" s="3">
        <f t="shared" si="327"/>
        <v>0</v>
      </c>
      <c r="AW70" s="3">
        <f t="shared" si="327"/>
        <v>0</v>
      </c>
      <c r="AX70" s="3">
        <f t="shared" si="327"/>
        <v>0</v>
      </c>
      <c r="AY70" s="3">
        <f t="shared" si="327"/>
        <v>0</v>
      </c>
      <c r="AZ70" s="3">
        <f t="shared" si="327"/>
        <v>0</v>
      </c>
      <c r="BA70" s="3">
        <f t="shared" si="327"/>
        <v>0</v>
      </c>
      <c r="BB70" s="3">
        <f t="shared" si="327"/>
        <v>0</v>
      </c>
      <c r="BC70" s="3">
        <f t="shared" si="327"/>
        <v>0</v>
      </c>
      <c r="BD70" s="3">
        <f t="shared" si="327"/>
        <v>0</v>
      </c>
      <c r="BE70" s="3">
        <f t="shared" si="327"/>
        <v>0</v>
      </c>
      <c r="BF70" s="3">
        <f t="shared" si="327"/>
        <v>0</v>
      </c>
      <c r="BG70" s="2"/>
      <c r="BH70" s="3">
        <f t="shared" ref="BH70:BS70" si="328">IF(AND(BH$5&gt;=$C70,BH$5&lt;=$D70),$E70,0)</f>
        <v>0</v>
      </c>
      <c r="BI70" s="3">
        <f t="shared" si="328"/>
        <v>0</v>
      </c>
      <c r="BJ70" s="3">
        <f t="shared" si="328"/>
        <v>0</v>
      </c>
      <c r="BK70" s="3">
        <f t="shared" si="328"/>
        <v>0</v>
      </c>
      <c r="BL70" s="3">
        <f t="shared" si="328"/>
        <v>0</v>
      </c>
      <c r="BM70" s="3">
        <f t="shared" si="328"/>
        <v>0</v>
      </c>
      <c r="BN70" s="3">
        <f t="shared" si="328"/>
        <v>0</v>
      </c>
      <c r="BO70" s="3">
        <f t="shared" si="328"/>
        <v>0</v>
      </c>
      <c r="BP70" s="3">
        <f t="shared" si="328"/>
        <v>0</v>
      </c>
      <c r="BQ70" s="3">
        <f t="shared" si="328"/>
        <v>0</v>
      </c>
      <c r="BR70" s="3">
        <f t="shared" si="328"/>
        <v>0</v>
      </c>
      <c r="BS70" s="3">
        <f t="shared" si="328"/>
        <v>0</v>
      </c>
      <c r="BT70" s="2"/>
    </row>
    <row r="71" spans="1:72" ht="15.75" customHeight="1">
      <c r="A71" s="54" t="str">
        <f>IF('Capital purchases'!C75="","",'Capital purchases'!C75)</f>
        <v/>
      </c>
      <c r="B71" s="2"/>
      <c r="C71" s="2" t="str">
        <f>IF($A71="","",'Capital purchases'!B75)</f>
        <v/>
      </c>
      <c r="D71" s="3" t="str">
        <f>IF($A71="","",'Capital purchases'!J75)</f>
        <v/>
      </c>
      <c r="E71" s="161" t="str">
        <f>IF($A71="","",'Capital purchases'!I75)</f>
        <v/>
      </c>
      <c r="H71" s="3">
        <f t="shared" ref="H71:S71" si="329">IF(AND(H$5&gt;=$C71,H$5&lt;=$D71),$E71,0)</f>
        <v>0</v>
      </c>
      <c r="I71" s="3">
        <f t="shared" si="329"/>
        <v>0</v>
      </c>
      <c r="J71" s="3">
        <f t="shared" si="329"/>
        <v>0</v>
      </c>
      <c r="K71" s="3">
        <f t="shared" si="329"/>
        <v>0</v>
      </c>
      <c r="L71" s="3">
        <f t="shared" si="329"/>
        <v>0</v>
      </c>
      <c r="M71" s="3">
        <f t="shared" si="329"/>
        <v>0</v>
      </c>
      <c r="N71" s="3">
        <f t="shared" si="329"/>
        <v>0</v>
      </c>
      <c r="O71" s="3">
        <f t="shared" si="329"/>
        <v>0</v>
      </c>
      <c r="P71" s="3">
        <f t="shared" si="329"/>
        <v>0</v>
      </c>
      <c r="Q71" s="3">
        <f t="shared" si="329"/>
        <v>0</v>
      </c>
      <c r="R71" s="3">
        <f t="shared" si="329"/>
        <v>0</v>
      </c>
      <c r="S71" s="3">
        <f t="shared" si="329"/>
        <v>0</v>
      </c>
      <c r="U71" s="3">
        <f t="shared" ref="U71:AF71" si="330">IF(AND(U$5&gt;=$C71,U$5&lt;=$D71),$E71,0)</f>
        <v>0</v>
      </c>
      <c r="V71" s="3">
        <f t="shared" si="330"/>
        <v>0</v>
      </c>
      <c r="W71" s="3">
        <f t="shared" si="330"/>
        <v>0</v>
      </c>
      <c r="X71" s="3">
        <f t="shared" si="330"/>
        <v>0</v>
      </c>
      <c r="Y71" s="3">
        <f t="shared" si="330"/>
        <v>0</v>
      </c>
      <c r="Z71" s="3">
        <f t="shared" si="330"/>
        <v>0</v>
      </c>
      <c r="AA71" s="3">
        <f t="shared" si="330"/>
        <v>0</v>
      </c>
      <c r="AB71" s="3">
        <f t="shared" si="330"/>
        <v>0</v>
      </c>
      <c r="AC71" s="3">
        <f t="shared" si="330"/>
        <v>0</v>
      </c>
      <c r="AD71" s="3">
        <f t="shared" si="330"/>
        <v>0</v>
      </c>
      <c r="AE71" s="3">
        <f t="shared" si="330"/>
        <v>0</v>
      </c>
      <c r="AF71" s="3">
        <f t="shared" si="330"/>
        <v>0</v>
      </c>
      <c r="AH71" s="3">
        <f t="shared" ref="AH71:AS71" si="331">IF(AND(AH$5&gt;=$C71,AH$5&lt;=$D71),$E71,0)</f>
        <v>0</v>
      </c>
      <c r="AI71" s="3">
        <f t="shared" si="331"/>
        <v>0</v>
      </c>
      <c r="AJ71" s="3">
        <f t="shared" si="331"/>
        <v>0</v>
      </c>
      <c r="AK71" s="3">
        <f t="shared" si="331"/>
        <v>0</v>
      </c>
      <c r="AL71" s="3">
        <f t="shared" si="331"/>
        <v>0</v>
      </c>
      <c r="AM71" s="3">
        <f t="shared" si="331"/>
        <v>0</v>
      </c>
      <c r="AN71" s="3">
        <f t="shared" si="331"/>
        <v>0</v>
      </c>
      <c r="AO71" s="3">
        <f t="shared" si="331"/>
        <v>0</v>
      </c>
      <c r="AP71" s="3">
        <f t="shared" si="331"/>
        <v>0</v>
      </c>
      <c r="AQ71" s="3">
        <f t="shared" si="331"/>
        <v>0</v>
      </c>
      <c r="AR71" s="3">
        <f t="shared" si="331"/>
        <v>0</v>
      </c>
      <c r="AS71" s="3">
        <f t="shared" si="331"/>
        <v>0</v>
      </c>
      <c r="AU71" s="3">
        <f t="shared" ref="AU71:BF71" si="332">IF(AND(AU$5&gt;=$C71,AU$5&lt;=$D71),$E71,0)</f>
        <v>0</v>
      </c>
      <c r="AV71" s="3">
        <f t="shared" si="332"/>
        <v>0</v>
      </c>
      <c r="AW71" s="3">
        <f t="shared" si="332"/>
        <v>0</v>
      </c>
      <c r="AX71" s="3">
        <f t="shared" si="332"/>
        <v>0</v>
      </c>
      <c r="AY71" s="3">
        <f t="shared" si="332"/>
        <v>0</v>
      </c>
      <c r="AZ71" s="3">
        <f t="shared" si="332"/>
        <v>0</v>
      </c>
      <c r="BA71" s="3">
        <f t="shared" si="332"/>
        <v>0</v>
      </c>
      <c r="BB71" s="3">
        <f t="shared" si="332"/>
        <v>0</v>
      </c>
      <c r="BC71" s="3">
        <f t="shared" si="332"/>
        <v>0</v>
      </c>
      <c r="BD71" s="3">
        <f t="shared" si="332"/>
        <v>0</v>
      </c>
      <c r="BE71" s="3">
        <f t="shared" si="332"/>
        <v>0</v>
      </c>
      <c r="BF71" s="3">
        <f t="shared" si="332"/>
        <v>0</v>
      </c>
      <c r="BG71" s="2"/>
      <c r="BH71" s="3">
        <f t="shared" ref="BH71:BS71" si="333">IF(AND(BH$5&gt;=$C71,BH$5&lt;=$D71),$E71,0)</f>
        <v>0</v>
      </c>
      <c r="BI71" s="3">
        <f t="shared" si="333"/>
        <v>0</v>
      </c>
      <c r="BJ71" s="3">
        <f t="shared" si="333"/>
        <v>0</v>
      </c>
      <c r="BK71" s="3">
        <f t="shared" si="333"/>
        <v>0</v>
      </c>
      <c r="BL71" s="3">
        <f t="shared" si="333"/>
        <v>0</v>
      </c>
      <c r="BM71" s="3">
        <f t="shared" si="333"/>
        <v>0</v>
      </c>
      <c r="BN71" s="3">
        <f t="shared" si="333"/>
        <v>0</v>
      </c>
      <c r="BO71" s="3">
        <f t="shared" si="333"/>
        <v>0</v>
      </c>
      <c r="BP71" s="3">
        <f t="shared" si="333"/>
        <v>0</v>
      </c>
      <c r="BQ71" s="3">
        <f t="shared" si="333"/>
        <v>0</v>
      </c>
      <c r="BR71" s="3">
        <f t="shared" si="333"/>
        <v>0</v>
      </c>
      <c r="BS71" s="3">
        <f t="shared" si="333"/>
        <v>0</v>
      </c>
      <c r="BT71" s="2"/>
    </row>
    <row r="72" spans="1:72" ht="15.75" customHeight="1">
      <c r="A72" s="54" t="str">
        <f>IF('Capital purchases'!C76="","",'Capital purchases'!C76)</f>
        <v/>
      </c>
      <c r="B72" s="2"/>
      <c r="C72" s="2" t="str">
        <f>IF($A72="","",'Capital purchases'!B76)</f>
        <v/>
      </c>
      <c r="D72" s="3" t="str">
        <f>IF($A72="","",'Capital purchases'!J76)</f>
        <v/>
      </c>
      <c r="E72" s="161" t="str">
        <f>IF($A72="","",'Capital purchases'!I76)</f>
        <v/>
      </c>
      <c r="H72" s="3">
        <f t="shared" ref="H72:S72" si="334">IF(AND(H$5&gt;=$C72,H$5&lt;=$D72),$E72,0)</f>
        <v>0</v>
      </c>
      <c r="I72" s="3">
        <f t="shared" si="334"/>
        <v>0</v>
      </c>
      <c r="J72" s="3">
        <f t="shared" si="334"/>
        <v>0</v>
      </c>
      <c r="K72" s="3">
        <f t="shared" si="334"/>
        <v>0</v>
      </c>
      <c r="L72" s="3">
        <f t="shared" si="334"/>
        <v>0</v>
      </c>
      <c r="M72" s="3">
        <f t="shared" si="334"/>
        <v>0</v>
      </c>
      <c r="N72" s="3">
        <f t="shared" si="334"/>
        <v>0</v>
      </c>
      <c r="O72" s="3">
        <f t="shared" si="334"/>
        <v>0</v>
      </c>
      <c r="P72" s="3">
        <f t="shared" si="334"/>
        <v>0</v>
      </c>
      <c r="Q72" s="3">
        <f t="shared" si="334"/>
        <v>0</v>
      </c>
      <c r="R72" s="3">
        <f t="shared" si="334"/>
        <v>0</v>
      </c>
      <c r="S72" s="3">
        <f t="shared" si="334"/>
        <v>0</v>
      </c>
      <c r="U72" s="3">
        <f t="shared" ref="U72:AF72" si="335">IF(AND(U$5&gt;=$C72,U$5&lt;=$D72),$E72,0)</f>
        <v>0</v>
      </c>
      <c r="V72" s="3">
        <f t="shared" si="335"/>
        <v>0</v>
      </c>
      <c r="W72" s="3">
        <f t="shared" si="335"/>
        <v>0</v>
      </c>
      <c r="X72" s="3">
        <f t="shared" si="335"/>
        <v>0</v>
      </c>
      <c r="Y72" s="3">
        <f t="shared" si="335"/>
        <v>0</v>
      </c>
      <c r="Z72" s="3">
        <f t="shared" si="335"/>
        <v>0</v>
      </c>
      <c r="AA72" s="3">
        <f t="shared" si="335"/>
        <v>0</v>
      </c>
      <c r="AB72" s="3">
        <f t="shared" si="335"/>
        <v>0</v>
      </c>
      <c r="AC72" s="3">
        <f t="shared" si="335"/>
        <v>0</v>
      </c>
      <c r="AD72" s="3">
        <f t="shared" si="335"/>
        <v>0</v>
      </c>
      <c r="AE72" s="3">
        <f t="shared" si="335"/>
        <v>0</v>
      </c>
      <c r="AF72" s="3">
        <f t="shared" si="335"/>
        <v>0</v>
      </c>
      <c r="AH72" s="3">
        <f t="shared" ref="AH72:AS72" si="336">IF(AND(AH$5&gt;=$C72,AH$5&lt;=$D72),$E72,0)</f>
        <v>0</v>
      </c>
      <c r="AI72" s="3">
        <f t="shared" si="336"/>
        <v>0</v>
      </c>
      <c r="AJ72" s="3">
        <f t="shared" si="336"/>
        <v>0</v>
      </c>
      <c r="AK72" s="3">
        <f t="shared" si="336"/>
        <v>0</v>
      </c>
      <c r="AL72" s="3">
        <f t="shared" si="336"/>
        <v>0</v>
      </c>
      <c r="AM72" s="3">
        <f t="shared" si="336"/>
        <v>0</v>
      </c>
      <c r="AN72" s="3">
        <f t="shared" si="336"/>
        <v>0</v>
      </c>
      <c r="AO72" s="3">
        <f t="shared" si="336"/>
        <v>0</v>
      </c>
      <c r="AP72" s="3">
        <f t="shared" si="336"/>
        <v>0</v>
      </c>
      <c r="AQ72" s="3">
        <f t="shared" si="336"/>
        <v>0</v>
      </c>
      <c r="AR72" s="3">
        <f t="shared" si="336"/>
        <v>0</v>
      </c>
      <c r="AS72" s="3">
        <f t="shared" si="336"/>
        <v>0</v>
      </c>
      <c r="AU72" s="3">
        <f t="shared" ref="AU72:BF72" si="337">IF(AND(AU$5&gt;=$C72,AU$5&lt;=$D72),$E72,0)</f>
        <v>0</v>
      </c>
      <c r="AV72" s="3">
        <f t="shared" si="337"/>
        <v>0</v>
      </c>
      <c r="AW72" s="3">
        <f t="shared" si="337"/>
        <v>0</v>
      </c>
      <c r="AX72" s="3">
        <f t="shared" si="337"/>
        <v>0</v>
      </c>
      <c r="AY72" s="3">
        <f t="shared" si="337"/>
        <v>0</v>
      </c>
      <c r="AZ72" s="3">
        <f t="shared" si="337"/>
        <v>0</v>
      </c>
      <c r="BA72" s="3">
        <f t="shared" si="337"/>
        <v>0</v>
      </c>
      <c r="BB72" s="3">
        <f t="shared" si="337"/>
        <v>0</v>
      </c>
      <c r="BC72" s="3">
        <f t="shared" si="337"/>
        <v>0</v>
      </c>
      <c r="BD72" s="3">
        <f t="shared" si="337"/>
        <v>0</v>
      </c>
      <c r="BE72" s="3">
        <f t="shared" si="337"/>
        <v>0</v>
      </c>
      <c r="BF72" s="3">
        <f t="shared" si="337"/>
        <v>0</v>
      </c>
      <c r="BG72" s="2"/>
      <c r="BH72" s="3">
        <f t="shared" ref="BH72:BS72" si="338">IF(AND(BH$5&gt;=$C72,BH$5&lt;=$D72),$E72,0)</f>
        <v>0</v>
      </c>
      <c r="BI72" s="3">
        <f t="shared" si="338"/>
        <v>0</v>
      </c>
      <c r="BJ72" s="3">
        <f t="shared" si="338"/>
        <v>0</v>
      </c>
      <c r="BK72" s="3">
        <f t="shared" si="338"/>
        <v>0</v>
      </c>
      <c r="BL72" s="3">
        <f t="shared" si="338"/>
        <v>0</v>
      </c>
      <c r="BM72" s="3">
        <f t="shared" si="338"/>
        <v>0</v>
      </c>
      <c r="BN72" s="3">
        <f t="shared" si="338"/>
        <v>0</v>
      </c>
      <c r="BO72" s="3">
        <f t="shared" si="338"/>
        <v>0</v>
      </c>
      <c r="BP72" s="3">
        <f t="shared" si="338"/>
        <v>0</v>
      </c>
      <c r="BQ72" s="3">
        <f t="shared" si="338"/>
        <v>0</v>
      </c>
      <c r="BR72" s="3">
        <f t="shared" si="338"/>
        <v>0</v>
      </c>
      <c r="BS72" s="3">
        <f t="shared" si="338"/>
        <v>0</v>
      </c>
      <c r="BT72" s="2"/>
    </row>
    <row r="73" spans="1:72" ht="15.75" customHeight="1">
      <c r="A73" s="54" t="str">
        <f>IF('Capital purchases'!C77="","",'Capital purchases'!C77)</f>
        <v/>
      </c>
      <c r="B73" s="2"/>
      <c r="C73" s="2" t="str">
        <f>IF($A73="","",'Capital purchases'!B77)</f>
        <v/>
      </c>
      <c r="D73" s="3" t="str">
        <f>IF($A73="","",'Capital purchases'!J77)</f>
        <v/>
      </c>
      <c r="E73" s="161" t="str">
        <f>IF($A73="","",'Capital purchases'!I77)</f>
        <v/>
      </c>
      <c r="H73" s="3">
        <f t="shared" ref="H73:S73" si="339">IF(AND(H$5&gt;=$C73,H$5&lt;=$D73),$E73,0)</f>
        <v>0</v>
      </c>
      <c r="I73" s="3">
        <f t="shared" si="339"/>
        <v>0</v>
      </c>
      <c r="J73" s="3">
        <f t="shared" si="339"/>
        <v>0</v>
      </c>
      <c r="K73" s="3">
        <f t="shared" si="339"/>
        <v>0</v>
      </c>
      <c r="L73" s="3">
        <f t="shared" si="339"/>
        <v>0</v>
      </c>
      <c r="M73" s="3">
        <f t="shared" si="339"/>
        <v>0</v>
      </c>
      <c r="N73" s="3">
        <f t="shared" si="339"/>
        <v>0</v>
      </c>
      <c r="O73" s="3">
        <f t="shared" si="339"/>
        <v>0</v>
      </c>
      <c r="P73" s="3">
        <f t="shared" si="339"/>
        <v>0</v>
      </c>
      <c r="Q73" s="3">
        <f t="shared" si="339"/>
        <v>0</v>
      </c>
      <c r="R73" s="3">
        <f t="shared" si="339"/>
        <v>0</v>
      </c>
      <c r="S73" s="3">
        <f t="shared" si="339"/>
        <v>0</v>
      </c>
      <c r="U73" s="3">
        <f t="shared" ref="U73:AF73" si="340">IF(AND(U$5&gt;=$C73,U$5&lt;=$D73),$E73,0)</f>
        <v>0</v>
      </c>
      <c r="V73" s="3">
        <f t="shared" si="340"/>
        <v>0</v>
      </c>
      <c r="W73" s="3">
        <f t="shared" si="340"/>
        <v>0</v>
      </c>
      <c r="X73" s="3">
        <f t="shared" si="340"/>
        <v>0</v>
      </c>
      <c r="Y73" s="3">
        <f t="shared" si="340"/>
        <v>0</v>
      </c>
      <c r="Z73" s="3">
        <f t="shared" si="340"/>
        <v>0</v>
      </c>
      <c r="AA73" s="3">
        <f t="shared" si="340"/>
        <v>0</v>
      </c>
      <c r="AB73" s="3">
        <f t="shared" si="340"/>
        <v>0</v>
      </c>
      <c r="AC73" s="3">
        <f t="shared" si="340"/>
        <v>0</v>
      </c>
      <c r="AD73" s="3">
        <f t="shared" si="340"/>
        <v>0</v>
      </c>
      <c r="AE73" s="3">
        <f t="shared" si="340"/>
        <v>0</v>
      </c>
      <c r="AF73" s="3">
        <f t="shared" si="340"/>
        <v>0</v>
      </c>
      <c r="AH73" s="3">
        <f t="shared" ref="AH73:AS73" si="341">IF(AND(AH$5&gt;=$C73,AH$5&lt;=$D73),$E73,0)</f>
        <v>0</v>
      </c>
      <c r="AI73" s="3">
        <f t="shared" si="341"/>
        <v>0</v>
      </c>
      <c r="AJ73" s="3">
        <f t="shared" si="341"/>
        <v>0</v>
      </c>
      <c r="AK73" s="3">
        <f t="shared" si="341"/>
        <v>0</v>
      </c>
      <c r="AL73" s="3">
        <f t="shared" si="341"/>
        <v>0</v>
      </c>
      <c r="AM73" s="3">
        <f t="shared" si="341"/>
        <v>0</v>
      </c>
      <c r="AN73" s="3">
        <f t="shared" si="341"/>
        <v>0</v>
      </c>
      <c r="AO73" s="3">
        <f t="shared" si="341"/>
        <v>0</v>
      </c>
      <c r="AP73" s="3">
        <f t="shared" si="341"/>
        <v>0</v>
      </c>
      <c r="AQ73" s="3">
        <f t="shared" si="341"/>
        <v>0</v>
      </c>
      <c r="AR73" s="3">
        <f t="shared" si="341"/>
        <v>0</v>
      </c>
      <c r="AS73" s="3">
        <f t="shared" si="341"/>
        <v>0</v>
      </c>
      <c r="AU73" s="3">
        <f t="shared" ref="AU73:BF73" si="342">IF(AND(AU$5&gt;=$C73,AU$5&lt;=$D73),$E73,0)</f>
        <v>0</v>
      </c>
      <c r="AV73" s="3">
        <f t="shared" si="342"/>
        <v>0</v>
      </c>
      <c r="AW73" s="3">
        <f t="shared" si="342"/>
        <v>0</v>
      </c>
      <c r="AX73" s="3">
        <f t="shared" si="342"/>
        <v>0</v>
      </c>
      <c r="AY73" s="3">
        <f t="shared" si="342"/>
        <v>0</v>
      </c>
      <c r="AZ73" s="3">
        <f t="shared" si="342"/>
        <v>0</v>
      </c>
      <c r="BA73" s="3">
        <f t="shared" si="342"/>
        <v>0</v>
      </c>
      <c r="BB73" s="3">
        <f t="shared" si="342"/>
        <v>0</v>
      </c>
      <c r="BC73" s="3">
        <f t="shared" si="342"/>
        <v>0</v>
      </c>
      <c r="BD73" s="3">
        <f t="shared" si="342"/>
        <v>0</v>
      </c>
      <c r="BE73" s="3">
        <f t="shared" si="342"/>
        <v>0</v>
      </c>
      <c r="BF73" s="3">
        <f t="shared" si="342"/>
        <v>0</v>
      </c>
      <c r="BG73" s="2"/>
      <c r="BH73" s="3">
        <f t="shared" ref="BH73:BS73" si="343">IF(AND(BH$5&gt;=$C73,BH$5&lt;=$D73),$E73,0)</f>
        <v>0</v>
      </c>
      <c r="BI73" s="3">
        <f t="shared" si="343"/>
        <v>0</v>
      </c>
      <c r="BJ73" s="3">
        <f t="shared" si="343"/>
        <v>0</v>
      </c>
      <c r="BK73" s="3">
        <f t="shared" si="343"/>
        <v>0</v>
      </c>
      <c r="BL73" s="3">
        <f t="shared" si="343"/>
        <v>0</v>
      </c>
      <c r="BM73" s="3">
        <f t="shared" si="343"/>
        <v>0</v>
      </c>
      <c r="BN73" s="3">
        <f t="shared" si="343"/>
        <v>0</v>
      </c>
      <c r="BO73" s="3">
        <f t="shared" si="343"/>
        <v>0</v>
      </c>
      <c r="BP73" s="3">
        <f t="shared" si="343"/>
        <v>0</v>
      </c>
      <c r="BQ73" s="3">
        <f t="shared" si="343"/>
        <v>0</v>
      </c>
      <c r="BR73" s="3">
        <f t="shared" si="343"/>
        <v>0</v>
      </c>
      <c r="BS73" s="3">
        <f t="shared" si="343"/>
        <v>0</v>
      </c>
      <c r="BT73" s="2"/>
    </row>
    <row r="74" spans="1:72" ht="15.75" customHeight="1">
      <c r="A74" s="54" t="str">
        <f>IF('Capital purchases'!C78="","",'Capital purchases'!C78)</f>
        <v/>
      </c>
      <c r="B74" s="2"/>
      <c r="C74" s="2" t="str">
        <f>IF($A74="","",'Capital purchases'!B78)</f>
        <v/>
      </c>
      <c r="D74" s="3" t="str">
        <f>IF($A74="","",'Capital purchases'!J78)</f>
        <v/>
      </c>
      <c r="E74" s="161" t="str">
        <f>IF($A74="","",'Capital purchases'!I78)</f>
        <v/>
      </c>
      <c r="H74" s="3">
        <f t="shared" ref="H74:S74" si="344">IF(AND(H$5&gt;=$C74,H$5&lt;=$D74),$E74,0)</f>
        <v>0</v>
      </c>
      <c r="I74" s="3">
        <f t="shared" si="344"/>
        <v>0</v>
      </c>
      <c r="J74" s="3">
        <f t="shared" si="344"/>
        <v>0</v>
      </c>
      <c r="K74" s="3">
        <f t="shared" si="344"/>
        <v>0</v>
      </c>
      <c r="L74" s="3">
        <f t="shared" si="344"/>
        <v>0</v>
      </c>
      <c r="M74" s="3">
        <f t="shared" si="344"/>
        <v>0</v>
      </c>
      <c r="N74" s="3">
        <f t="shared" si="344"/>
        <v>0</v>
      </c>
      <c r="O74" s="3">
        <f t="shared" si="344"/>
        <v>0</v>
      </c>
      <c r="P74" s="3">
        <f t="shared" si="344"/>
        <v>0</v>
      </c>
      <c r="Q74" s="3">
        <f t="shared" si="344"/>
        <v>0</v>
      </c>
      <c r="R74" s="3">
        <f t="shared" si="344"/>
        <v>0</v>
      </c>
      <c r="S74" s="3">
        <f t="shared" si="344"/>
        <v>0</v>
      </c>
      <c r="U74" s="3">
        <f t="shared" ref="U74:AF74" si="345">IF(AND(U$5&gt;=$C74,U$5&lt;=$D74),$E74,0)</f>
        <v>0</v>
      </c>
      <c r="V74" s="3">
        <f t="shared" si="345"/>
        <v>0</v>
      </c>
      <c r="W74" s="3">
        <f t="shared" si="345"/>
        <v>0</v>
      </c>
      <c r="X74" s="3">
        <f t="shared" si="345"/>
        <v>0</v>
      </c>
      <c r="Y74" s="3">
        <f t="shared" si="345"/>
        <v>0</v>
      </c>
      <c r="Z74" s="3">
        <f t="shared" si="345"/>
        <v>0</v>
      </c>
      <c r="AA74" s="3">
        <f t="shared" si="345"/>
        <v>0</v>
      </c>
      <c r="AB74" s="3">
        <f t="shared" si="345"/>
        <v>0</v>
      </c>
      <c r="AC74" s="3">
        <f t="shared" si="345"/>
        <v>0</v>
      </c>
      <c r="AD74" s="3">
        <f t="shared" si="345"/>
        <v>0</v>
      </c>
      <c r="AE74" s="3">
        <f t="shared" si="345"/>
        <v>0</v>
      </c>
      <c r="AF74" s="3">
        <f t="shared" si="345"/>
        <v>0</v>
      </c>
      <c r="AH74" s="3">
        <f t="shared" ref="AH74:AS74" si="346">IF(AND(AH$5&gt;=$C74,AH$5&lt;=$D74),$E74,0)</f>
        <v>0</v>
      </c>
      <c r="AI74" s="3">
        <f t="shared" si="346"/>
        <v>0</v>
      </c>
      <c r="AJ74" s="3">
        <f t="shared" si="346"/>
        <v>0</v>
      </c>
      <c r="AK74" s="3">
        <f t="shared" si="346"/>
        <v>0</v>
      </c>
      <c r="AL74" s="3">
        <f t="shared" si="346"/>
        <v>0</v>
      </c>
      <c r="AM74" s="3">
        <f t="shared" si="346"/>
        <v>0</v>
      </c>
      <c r="AN74" s="3">
        <f t="shared" si="346"/>
        <v>0</v>
      </c>
      <c r="AO74" s="3">
        <f t="shared" si="346"/>
        <v>0</v>
      </c>
      <c r="AP74" s="3">
        <f t="shared" si="346"/>
        <v>0</v>
      </c>
      <c r="AQ74" s="3">
        <f t="shared" si="346"/>
        <v>0</v>
      </c>
      <c r="AR74" s="3">
        <f t="shared" si="346"/>
        <v>0</v>
      </c>
      <c r="AS74" s="3">
        <f t="shared" si="346"/>
        <v>0</v>
      </c>
      <c r="AU74" s="3">
        <f t="shared" ref="AU74:BF74" si="347">IF(AND(AU$5&gt;=$C74,AU$5&lt;=$D74),$E74,0)</f>
        <v>0</v>
      </c>
      <c r="AV74" s="3">
        <f t="shared" si="347"/>
        <v>0</v>
      </c>
      <c r="AW74" s="3">
        <f t="shared" si="347"/>
        <v>0</v>
      </c>
      <c r="AX74" s="3">
        <f t="shared" si="347"/>
        <v>0</v>
      </c>
      <c r="AY74" s="3">
        <f t="shared" si="347"/>
        <v>0</v>
      </c>
      <c r="AZ74" s="3">
        <f t="shared" si="347"/>
        <v>0</v>
      </c>
      <c r="BA74" s="3">
        <f t="shared" si="347"/>
        <v>0</v>
      </c>
      <c r="BB74" s="3">
        <f t="shared" si="347"/>
        <v>0</v>
      </c>
      <c r="BC74" s="3">
        <f t="shared" si="347"/>
        <v>0</v>
      </c>
      <c r="BD74" s="3">
        <f t="shared" si="347"/>
        <v>0</v>
      </c>
      <c r="BE74" s="3">
        <f t="shared" si="347"/>
        <v>0</v>
      </c>
      <c r="BF74" s="3">
        <f t="shared" si="347"/>
        <v>0</v>
      </c>
      <c r="BG74" s="2"/>
      <c r="BH74" s="3">
        <f t="shared" ref="BH74:BS74" si="348">IF(AND(BH$5&gt;=$C74,BH$5&lt;=$D74),$E74,0)</f>
        <v>0</v>
      </c>
      <c r="BI74" s="3">
        <f t="shared" si="348"/>
        <v>0</v>
      </c>
      <c r="BJ74" s="3">
        <f t="shared" si="348"/>
        <v>0</v>
      </c>
      <c r="BK74" s="3">
        <f t="shared" si="348"/>
        <v>0</v>
      </c>
      <c r="BL74" s="3">
        <f t="shared" si="348"/>
        <v>0</v>
      </c>
      <c r="BM74" s="3">
        <f t="shared" si="348"/>
        <v>0</v>
      </c>
      <c r="BN74" s="3">
        <f t="shared" si="348"/>
        <v>0</v>
      </c>
      <c r="BO74" s="3">
        <f t="shared" si="348"/>
        <v>0</v>
      </c>
      <c r="BP74" s="3">
        <f t="shared" si="348"/>
        <v>0</v>
      </c>
      <c r="BQ74" s="3">
        <f t="shared" si="348"/>
        <v>0</v>
      </c>
      <c r="BR74" s="3">
        <f t="shared" si="348"/>
        <v>0</v>
      </c>
      <c r="BS74" s="3">
        <f t="shared" si="348"/>
        <v>0</v>
      </c>
      <c r="BT74" s="2"/>
    </row>
    <row r="75" spans="1:72" ht="15.75" customHeight="1">
      <c r="A75" s="54" t="str">
        <f>IF('Capital purchases'!C79="","",'Capital purchases'!C79)</f>
        <v/>
      </c>
      <c r="B75" s="2"/>
      <c r="C75" s="2" t="str">
        <f>IF($A75="","",'Capital purchases'!B79)</f>
        <v/>
      </c>
      <c r="D75" s="3" t="str">
        <f>IF($A75="","",'Capital purchases'!J79)</f>
        <v/>
      </c>
      <c r="E75" s="161" t="str">
        <f>IF($A75="","",'Capital purchases'!I79)</f>
        <v/>
      </c>
      <c r="H75" s="3">
        <f t="shared" ref="H75:S75" si="349">IF(AND(H$5&gt;=$C75,H$5&lt;=$D75),$E75,0)</f>
        <v>0</v>
      </c>
      <c r="I75" s="3">
        <f t="shared" si="349"/>
        <v>0</v>
      </c>
      <c r="J75" s="3">
        <f t="shared" si="349"/>
        <v>0</v>
      </c>
      <c r="K75" s="3">
        <f t="shared" si="349"/>
        <v>0</v>
      </c>
      <c r="L75" s="3">
        <f t="shared" si="349"/>
        <v>0</v>
      </c>
      <c r="M75" s="3">
        <f t="shared" si="349"/>
        <v>0</v>
      </c>
      <c r="N75" s="3">
        <f t="shared" si="349"/>
        <v>0</v>
      </c>
      <c r="O75" s="3">
        <f t="shared" si="349"/>
        <v>0</v>
      </c>
      <c r="P75" s="3">
        <f t="shared" si="349"/>
        <v>0</v>
      </c>
      <c r="Q75" s="3">
        <f t="shared" si="349"/>
        <v>0</v>
      </c>
      <c r="R75" s="3">
        <f t="shared" si="349"/>
        <v>0</v>
      </c>
      <c r="S75" s="3">
        <f t="shared" si="349"/>
        <v>0</v>
      </c>
      <c r="U75" s="3">
        <f t="shared" ref="U75:AF75" si="350">IF(AND(U$5&gt;=$C75,U$5&lt;=$D75),$E75,0)</f>
        <v>0</v>
      </c>
      <c r="V75" s="3">
        <f t="shared" si="350"/>
        <v>0</v>
      </c>
      <c r="W75" s="3">
        <f t="shared" si="350"/>
        <v>0</v>
      </c>
      <c r="X75" s="3">
        <f t="shared" si="350"/>
        <v>0</v>
      </c>
      <c r="Y75" s="3">
        <f t="shared" si="350"/>
        <v>0</v>
      </c>
      <c r="Z75" s="3">
        <f t="shared" si="350"/>
        <v>0</v>
      </c>
      <c r="AA75" s="3">
        <f t="shared" si="350"/>
        <v>0</v>
      </c>
      <c r="AB75" s="3">
        <f t="shared" si="350"/>
        <v>0</v>
      </c>
      <c r="AC75" s="3">
        <f t="shared" si="350"/>
        <v>0</v>
      </c>
      <c r="AD75" s="3">
        <f t="shared" si="350"/>
        <v>0</v>
      </c>
      <c r="AE75" s="3">
        <f t="shared" si="350"/>
        <v>0</v>
      </c>
      <c r="AF75" s="3">
        <f t="shared" si="350"/>
        <v>0</v>
      </c>
      <c r="AH75" s="3">
        <f t="shared" ref="AH75:AS75" si="351">IF(AND(AH$5&gt;=$C75,AH$5&lt;=$D75),$E75,0)</f>
        <v>0</v>
      </c>
      <c r="AI75" s="3">
        <f t="shared" si="351"/>
        <v>0</v>
      </c>
      <c r="AJ75" s="3">
        <f t="shared" si="351"/>
        <v>0</v>
      </c>
      <c r="AK75" s="3">
        <f t="shared" si="351"/>
        <v>0</v>
      </c>
      <c r="AL75" s="3">
        <f t="shared" si="351"/>
        <v>0</v>
      </c>
      <c r="AM75" s="3">
        <f t="shared" si="351"/>
        <v>0</v>
      </c>
      <c r="AN75" s="3">
        <f t="shared" si="351"/>
        <v>0</v>
      </c>
      <c r="AO75" s="3">
        <f t="shared" si="351"/>
        <v>0</v>
      </c>
      <c r="AP75" s="3">
        <f t="shared" si="351"/>
        <v>0</v>
      </c>
      <c r="AQ75" s="3">
        <f t="shared" si="351"/>
        <v>0</v>
      </c>
      <c r="AR75" s="3">
        <f t="shared" si="351"/>
        <v>0</v>
      </c>
      <c r="AS75" s="3">
        <f t="shared" si="351"/>
        <v>0</v>
      </c>
      <c r="AU75" s="3">
        <f t="shared" ref="AU75:BF75" si="352">IF(AND(AU$5&gt;=$C75,AU$5&lt;=$D75),$E75,0)</f>
        <v>0</v>
      </c>
      <c r="AV75" s="3">
        <f t="shared" si="352"/>
        <v>0</v>
      </c>
      <c r="AW75" s="3">
        <f t="shared" si="352"/>
        <v>0</v>
      </c>
      <c r="AX75" s="3">
        <f t="shared" si="352"/>
        <v>0</v>
      </c>
      <c r="AY75" s="3">
        <f t="shared" si="352"/>
        <v>0</v>
      </c>
      <c r="AZ75" s="3">
        <f t="shared" si="352"/>
        <v>0</v>
      </c>
      <c r="BA75" s="3">
        <f t="shared" si="352"/>
        <v>0</v>
      </c>
      <c r="BB75" s="3">
        <f t="shared" si="352"/>
        <v>0</v>
      </c>
      <c r="BC75" s="3">
        <f t="shared" si="352"/>
        <v>0</v>
      </c>
      <c r="BD75" s="3">
        <f t="shared" si="352"/>
        <v>0</v>
      </c>
      <c r="BE75" s="3">
        <f t="shared" si="352"/>
        <v>0</v>
      </c>
      <c r="BF75" s="3">
        <f t="shared" si="352"/>
        <v>0</v>
      </c>
      <c r="BG75" s="2"/>
      <c r="BH75" s="3">
        <f t="shared" ref="BH75:BS75" si="353">IF(AND(BH$5&gt;=$C75,BH$5&lt;=$D75),$E75,0)</f>
        <v>0</v>
      </c>
      <c r="BI75" s="3">
        <f t="shared" si="353"/>
        <v>0</v>
      </c>
      <c r="BJ75" s="3">
        <f t="shared" si="353"/>
        <v>0</v>
      </c>
      <c r="BK75" s="3">
        <f t="shared" si="353"/>
        <v>0</v>
      </c>
      <c r="BL75" s="3">
        <f t="shared" si="353"/>
        <v>0</v>
      </c>
      <c r="BM75" s="3">
        <f t="shared" si="353"/>
        <v>0</v>
      </c>
      <c r="BN75" s="3">
        <f t="shared" si="353"/>
        <v>0</v>
      </c>
      <c r="BO75" s="3">
        <f t="shared" si="353"/>
        <v>0</v>
      </c>
      <c r="BP75" s="3">
        <f t="shared" si="353"/>
        <v>0</v>
      </c>
      <c r="BQ75" s="3">
        <f t="shared" si="353"/>
        <v>0</v>
      </c>
      <c r="BR75" s="3">
        <f t="shared" si="353"/>
        <v>0</v>
      </c>
      <c r="BS75" s="3">
        <f t="shared" si="353"/>
        <v>0</v>
      </c>
      <c r="BT75" s="2"/>
    </row>
    <row r="76" spans="1:72" ht="15.75" customHeight="1">
      <c r="A76" s="54" t="str">
        <f>IF('Capital purchases'!C80="","",'Capital purchases'!C80)</f>
        <v/>
      </c>
      <c r="B76" s="2"/>
      <c r="C76" s="2" t="str">
        <f>IF($A76="","",'Capital purchases'!B80)</f>
        <v/>
      </c>
      <c r="D76" s="3" t="str">
        <f>IF($A76="","",'Capital purchases'!J80)</f>
        <v/>
      </c>
      <c r="E76" s="161" t="str">
        <f>IF($A76="","",'Capital purchases'!I80)</f>
        <v/>
      </c>
      <c r="H76" s="3">
        <f t="shared" ref="H76:S76" si="354">IF(AND(H$5&gt;=$C76,H$5&lt;=$D76),$E76,0)</f>
        <v>0</v>
      </c>
      <c r="I76" s="3">
        <f t="shared" si="354"/>
        <v>0</v>
      </c>
      <c r="J76" s="3">
        <f t="shared" si="354"/>
        <v>0</v>
      </c>
      <c r="K76" s="3">
        <f t="shared" si="354"/>
        <v>0</v>
      </c>
      <c r="L76" s="3">
        <f t="shared" si="354"/>
        <v>0</v>
      </c>
      <c r="M76" s="3">
        <f t="shared" si="354"/>
        <v>0</v>
      </c>
      <c r="N76" s="3">
        <f t="shared" si="354"/>
        <v>0</v>
      </c>
      <c r="O76" s="3">
        <f t="shared" si="354"/>
        <v>0</v>
      </c>
      <c r="P76" s="3">
        <f t="shared" si="354"/>
        <v>0</v>
      </c>
      <c r="Q76" s="3">
        <f t="shared" si="354"/>
        <v>0</v>
      </c>
      <c r="R76" s="3">
        <f t="shared" si="354"/>
        <v>0</v>
      </c>
      <c r="S76" s="3">
        <f t="shared" si="354"/>
        <v>0</v>
      </c>
      <c r="U76" s="3">
        <f t="shared" ref="U76:AF76" si="355">IF(AND(U$5&gt;=$C76,U$5&lt;=$D76),$E76,0)</f>
        <v>0</v>
      </c>
      <c r="V76" s="3">
        <f t="shared" si="355"/>
        <v>0</v>
      </c>
      <c r="W76" s="3">
        <f t="shared" si="355"/>
        <v>0</v>
      </c>
      <c r="X76" s="3">
        <f t="shared" si="355"/>
        <v>0</v>
      </c>
      <c r="Y76" s="3">
        <f t="shared" si="355"/>
        <v>0</v>
      </c>
      <c r="Z76" s="3">
        <f t="shared" si="355"/>
        <v>0</v>
      </c>
      <c r="AA76" s="3">
        <f t="shared" si="355"/>
        <v>0</v>
      </c>
      <c r="AB76" s="3">
        <f t="shared" si="355"/>
        <v>0</v>
      </c>
      <c r="AC76" s="3">
        <f t="shared" si="355"/>
        <v>0</v>
      </c>
      <c r="AD76" s="3">
        <f t="shared" si="355"/>
        <v>0</v>
      </c>
      <c r="AE76" s="3">
        <f t="shared" si="355"/>
        <v>0</v>
      </c>
      <c r="AF76" s="3">
        <f t="shared" si="355"/>
        <v>0</v>
      </c>
      <c r="AH76" s="3">
        <f t="shared" ref="AH76:AS76" si="356">IF(AND(AH$5&gt;=$C76,AH$5&lt;=$D76),$E76,0)</f>
        <v>0</v>
      </c>
      <c r="AI76" s="3">
        <f t="shared" si="356"/>
        <v>0</v>
      </c>
      <c r="AJ76" s="3">
        <f t="shared" si="356"/>
        <v>0</v>
      </c>
      <c r="AK76" s="3">
        <f t="shared" si="356"/>
        <v>0</v>
      </c>
      <c r="AL76" s="3">
        <f t="shared" si="356"/>
        <v>0</v>
      </c>
      <c r="AM76" s="3">
        <f t="shared" si="356"/>
        <v>0</v>
      </c>
      <c r="AN76" s="3">
        <f t="shared" si="356"/>
        <v>0</v>
      </c>
      <c r="AO76" s="3">
        <f t="shared" si="356"/>
        <v>0</v>
      </c>
      <c r="AP76" s="3">
        <f t="shared" si="356"/>
        <v>0</v>
      </c>
      <c r="AQ76" s="3">
        <f t="shared" si="356"/>
        <v>0</v>
      </c>
      <c r="AR76" s="3">
        <f t="shared" si="356"/>
        <v>0</v>
      </c>
      <c r="AS76" s="3">
        <f t="shared" si="356"/>
        <v>0</v>
      </c>
      <c r="AU76" s="3">
        <f t="shared" ref="AU76:BF76" si="357">IF(AND(AU$5&gt;=$C76,AU$5&lt;=$D76),$E76,0)</f>
        <v>0</v>
      </c>
      <c r="AV76" s="3">
        <f t="shared" si="357"/>
        <v>0</v>
      </c>
      <c r="AW76" s="3">
        <f t="shared" si="357"/>
        <v>0</v>
      </c>
      <c r="AX76" s="3">
        <f t="shared" si="357"/>
        <v>0</v>
      </c>
      <c r="AY76" s="3">
        <f t="shared" si="357"/>
        <v>0</v>
      </c>
      <c r="AZ76" s="3">
        <f t="shared" si="357"/>
        <v>0</v>
      </c>
      <c r="BA76" s="3">
        <f t="shared" si="357"/>
        <v>0</v>
      </c>
      <c r="BB76" s="3">
        <f t="shared" si="357"/>
        <v>0</v>
      </c>
      <c r="BC76" s="3">
        <f t="shared" si="357"/>
        <v>0</v>
      </c>
      <c r="BD76" s="3">
        <f t="shared" si="357"/>
        <v>0</v>
      </c>
      <c r="BE76" s="3">
        <f t="shared" si="357"/>
        <v>0</v>
      </c>
      <c r="BF76" s="3">
        <f t="shared" si="357"/>
        <v>0</v>
      </c>
      <c r="BG76" s="2"/>
      <c r="BH76" s="3">
        <f t="shared" ref="BH76:BS76" si="358">IF(AND(BH$5&gt;=$C76,BH$5&lt;=$D76),$E76,0)</f>
        <v>0</v>
      </c>
      <c r="BI76" s="3">
        <f t="shared" si="358"/>
        <v>0</v>
      </c>
      <c r="BJ76" s="3">
        <f t="shared" si="358"/>
        <v>0</v>
      </c>
      <c r="BK76" s="3">
        <f t="shared" si="358"/>
        <v>0</v>
      </c>
      <c r="BL76" s="3">
        <f t="shared" si="358"/>
        <v>0</v>
      </c>
      <c r="BM76" s="3">
        <f t="shared" si="358"/>
        <v>0</v>
      </c>
      <c r="BN76" s="3">
        <f t="shared" si="358"/>
        <v>0</v>
      </c>
      <c r="BO76" s="3">
        <f t="shared" si="358"/>
        <v>0</v>
      </c>
      <c r="BP76" s="3">
        <f t="shared" si="358"/>
        <v>0</v>
      </c>
      <c r="BQ76" s="3">
        <f t="shared" si="358"/>
        <v>0</v>
      </c>
      <c r="BR76" s="3">
        <f t="shared" si="358"/>
        <v>0</v>
      </c>
      <c r="BS76" s="3">
        <f t="shared" si="358"/>
        <v>0</v>
      </c>
      <c r="BT76" s="2"/>
    </row>
    <row r="77" spans="1:72" ht="15.75" customHeight="1">
      <c r="A77" s="54" t="str">
        <f>IF('Capital purchases'!C81="","",'Capital purchases'!C81)</f>
        <v/>
      </c>
      <c r="B77" s="2"/>
      <c r="C77" s="2" t="str">
        <f>IF($A77="","",'Capital purchases'!B81)</f>
        <v/>
      </c>
      <c r="D77" s="3" t="str">
        <f>IF($A77="","",'Capital purchases'!J81)</f>
        <v/>
      </c>
      <c r="E77" s="161" t="str">
        <f>IF($A77="","",'Capital purchases'!I81)</f>
        <v/>
      </c>
      <c r="H77" s="3">
        <f t="shared" ref="H77:S77" si="359">IF(AND(H$5&gt;=$C77,H$5&lt;=$D77),$E77,0)</f>
        <v>0</v>
      </c>
      <c r="I77" s="3">
        <f t="shared" si="359"/>
        <v>0</v>
      </c>
      <c r="J77" s="3">
        <f t="shared" si="359"/>
        <v>0</v>
      </c>
      <c r="K77" s="3">
        <f t="shared" si="359"/>
        <v>0</v>
      </c>
      <c r="L77" s="3">
        <f t="shared" si="359"/>
        <v>0</v>
      </c>
      <c r="M77" s="3">
        <f t="shared" si="359"/>
        <v>0</v>
      </c>
      <c r="N77" s="3">
        <f t="shared" si="359"/>
        <v>0</v>
      </c>
      <c r="O77" s="3">
        <f t="shared" si="359"/>
        <v>0</v>
      </c>
      <c r="P77" s="3">
        <f t="shared" si="359"/>
        <v>0</v>
      </c>
      <c r="Q77" s="3">
        <f t="shared" si="359"/>
        <v>0</v>
      </c>
      <c r="R77" s="3">
        <f t="shared" si="359"/>
        <v>0</v>
      </c>
      <c r="S77" s="3">
        <f t="shared" si="359"/>
        <v>0</v>
      </c>
      <c r="U77" s="3">
        <f t="shared" ref="U77:AF77" si="360">IF(AND(U$5&gt;=$C77,U$5&lt;=$D77),$E77,0)</f>
        <v>0</v>
      </c>
      <c r="V77" s="3">
        <f t="shared" si="360"/>
        <v>0</v>
      </c>
      <c r="W77" s="3">
        <f t="shared" si="360"/>
        <v>0</v>
      </c>
      <c r="X77" s="3">
        <f t="shared" si="360"/>
        <v>0</v>
      </c>
      <c r="Y77" s="3">
        <f t="shared" si="360"/>
        <v>0</v>
      </c>
      <c r="Z77" s="3">
        <f t="shared" si="360"/>
        <v>0</v>
      </c>
      <c r="AA77" s="3">
        <f t="shared" si="360"/>
        <v>0</v>
      </c>
      <c r="AB77" s="3">
        <f t="shared" si="360"/>
        <v>0</v>
      </c>
      <c r="AC77" s="3">
        <f t="shared" si="360"/>
        <v>0</v>
      </c>
      <c r="AD77" s="3">
        <f t="shared" si="360"/>
        <v>0</v>
      </c>
      <c r="AE77" s="3">
        <f t="shared" si="360"/>
        <v>0</v>
      </c>
      <c r="AF77" s="3">
        <f t="shared" si="360"/>
        <v>0</v>
      </c>
      <c r="AH77" s="3">
        <f t="shared" ref="AH77:AS77" si="361">IF(AND(AH$5&gt;=$C77,AH$5&lt;=$D77),$E77,0)</f>
        <v>0</v>
      </c>
      <c r="AI77" s="3">
        <f t="shared" si="361"/>
        <v>0</v>
      </c>
      <c r="AJ77" s="3">
        <f t="shared" si="361"/>
        <v>0</v>
      </c>
      <c r="AK77" s="3">
        <f t="shared" si="361"/>
        <v>0</v>
      </c>
      <c r="AL77" s="3">
        <f t="shared" si="361"/>
        <v>0</v>
      </c>
      <c r="AM77" s="3">
        <f t="shared" si="361"/>
        <v>0</v>
      </c>
      <c r="AN77" s="3">
        <f t="shared" si="361"/>
        <v>0</v>
      </c>
      <c r="AO77" s="3">
        <f t="shared" si="361"/>
        <v>0</v>
      </c>
      <c r="AP77" s="3">
        <f t="shared" si="361"/>
        <v>0</v>
      </c>
      <c r="AQ77" s="3">
        <f t="shared" si="361"/>
        <v>0</v>
      </c>
      <c r="AR77" s="3">
        <f t="shared" si="361"/>
        <v>0</v>
      </c>
      <c r="AS77" s="3">
        <f t="shared" si="361"/>
        <v>0</v>
      </c>
      <c r="AU77" s="3">
        <f t="shared" ref="AU77:BF77" si="362">IF(AND(AU$5&gt;=$C77,AU$5&lt;=$D77),$E77,0)</f>
        <v>0</v>
      </c>
      <c r="AV77" s="3">
        <f t="shared" si="362"/>
        <v>0</v>
      </c>
      <c r="AW77" s="3">
        <f t="shared" si="362"/>
        <v>0</v>
      </c>
      <c r="AX77" s="3">
        <f t="shared" si="362"/>
        <v>0</v>
      </c>
      <c r="AY77" s="3">
        <f t="shared" si="362"/>
        <v>0</v>
      </c>
      <c r="AZ77" s="3">
        <f t="shared" si="362"/>
        <v>0</v>
      </c>
      <c r="BA77" s="3">
        <f t="shared" si="362"/>
        <v>0</v>
      </c>
      <c r="BB77" s="3">
        <f t="shared" si="362"/>
        <v>0</v>
      </c>
      <c r="BC77" s="3">
        <f t="shared" si="362"/>
        <v>0</v>
      </c>
      <c r="BD77" s="3">
        <f t="shared" si="362"/>
        <v>0</v>
      </c>
      <c r="BE77" s="3">
        <f t="shared" si="362"/>
        <v>0</v>
      </c>
      <c r="BF77" s="3">
        <f t="shared" si="362"/>
        <v>0</v>
      </c>
      <c r="BG77" s="2"/>
      <c r="BH77" s="3">
        <f t="shared" ref="BH77:BS77" si="363">IF(AND(BH$5&gt;=$C77,BH$5&lt;=$D77),$E77,0)</f>
        <v>0</v>
      </c>
      <c r="BI77" s="3">
        <f t="shared" si="363"/>
        <v>0</v>
      </c>
      <c r="BJ77" s="3">
        <f t="shared" si="363"/>
        <v>0</v>
      </c>
      <c r="BK77" s="3">
        <f t="shared" si="363"/>
        <v>0</v>
      </c>
      <c r="BL77" s="3">
        <f t="shared" si="363"/>
        <v>0</v>
      </c>
      <c r="BM77" s="3">
        <f t="shared" si="363"/>
        <v>0</v>
      </c>
      <c r="BN77" s="3">
        <f t="shared" si="363"/>
        <v>0</v>
      </c>
      <c r="BO77" s="3">
        <f t="shared" si="363"/>
        <v>0</v>
      </c>
      <c r="BP77" s="3">
        <f t="shared" si="363"/>
        <v>0</v>
      </c>
      <c r="BQ77" s="3">
        <f t="shared" si="363"/>
        <v>0</v>
      </c>
      <c r="BR77" s="3">
        <f t="shared" si="363"/>
        <v>0</v>
      </c>
      <c r="BS77" s="3">
        <f t="shared" si="363"/>
        <v>0</v>
      </c>
      <c r="BT77" s="2"/>
    </row>
    <row r="78" spans="1:72" ht="15.75" customHeight="1">
      <c r="A78" s="54" t="str">
        <f>IF('Capital purchases'!C82="","",'Capital purchases'!C82)</f>
        <v/>
      </c>
      <c r="B78" s="2"/>
      <c r="C78" s="2" t="str">
        <f>IF($A78="","",'Capital purchases'!B82)</f>
        <v/>
      </c>
      <c r="D78" s="3" t="str">
        <f>IF($A78="","",'Capital purchases'!J82)</f>
        <v/>
      </c>
      <c r="E78" s="161" t="str">
        <f>IF($A78="","",'Capital purchases'!I82)</f>
        <v/>
      </c>
      <c r="H78" s="3">
        <f t="shared" ref="H78:S78" si="364">IF(AND(H$5&gt;=$C78,H$5&lt;=$D78),$E78,0)</f>
        <v>0</v>
      </c>
      <c r="I78" s="3">
        <f t="shared" si="364"/>
        <v>0</v>
      </c>
      <c r="J78" s="3">
        <f t="shared" si="364"/>
        <v>0</v>
      </c>
      <c r="K78" s="3">
        <f t="shared" si="364"/>
        <v>0</v>
      </c>
      <c r="L78" s="3">
        <f t="shared" si="364"/>
        <v>0</v>
      </c>
      <c r="M78" s="3">
        <f t="shared" si="364"/>
        <v>0</v>
      </c>
      <c r="N78" s="3">
        <f t="shared" si="364"/>
        <v>0</v>
      </c>
      <c r="O78" s="3">
        <f t="shared" si="364"/>
        <v>0</v>
      </c>
      <c r="P78" s="3">
        <f t="shared" si="364"/>
        <v>0</v>
      </c>
      <c r="Q78" s="3">
        <f t="shared" si="364"/>
        <v>0</v>
      </c>
      <c r="R78" s="3">
        <f t="shared" si="364"/>
        <v>0</v>
      </c>
      <c r="S78" s="3">
        <f t="shared" si="364"/>
        <v>0</v>
      </c>
      <c r="U78" s="3">
        <f t="shared" ref="U78:AF78" si="365">IF(AND(U$5&gt;=$C78,U$5&lt;=$D78),$E78,0)</f>
        <v>0</v>
      </c>
      <c r="V78" s="3">
        <f t="shared" si="365"/>
        <v>0</v>
      </c>
      <c r="W78" s="3">
        <f t="shared" si="365"/>
        <v>0</v>
      </c>
      <c r="X78" s="3">
        <f t="shared" si="365"/>
        <v>0</v>
      </c>
      <c r="Y78" s="3">
        <f t="shared" si="365"/>
        <v>0</v>
      </c>
      <c r="Z78" s="3">
        <f t="shared" si="365"/>
        <v>0</v>
      </c>
      <c r="AA78" s="3">
        <f t="shared" si="365"/>
        <v>0</v>
      </c>
      <c r="AB78" s="3">
        <f t="shared" si="365"/>
        <v>0</v>
      </c>
      <c r="AC78" s="3">
        <f t="shared" si="365"/>
        <v>0</v>
      </c>
      <c r="AD78" s="3">
        <f t="shared" si="365"/>
        <v>0</v>
      </c>
      <c r="AE78" s="3">
        <f t="shared" si="365"/>
        <v>0</v>
      </c>
      <c r="AF78" s="3">
        <f t="shared" si="365"/>
        <v>0</v>
      </c>
      <c r="AH78" s="3">
        <f t="shared" ref="AH78:AS78" si="366">IF(AND(AH$5&gt;=$C78,AH$5&lt;=$D78),$E78,0)</f>
        <v>0</v>
      </c>
      <c r="AI78" s="3">
        <f t="shared" si="366"/>
        <v>0</v>
      </c>
      <c r="AJ78" s="3">
        <f t="shared" si="366"/>
        <v>0</v>
      </c>
      <c r="AK78" s="3">
        <f t="shared" si="366"/>
        <v>0</v>
      </c>
      <c r="AL78" s="3">
        <f t="shared" si="366"/>
        <v>0</v>
      </c>
      <c r="AM78" s="3">
        <f t="shared" si="366"/>
        <v>0</v>
      </c>
      <c r="AN78" s="3">
        <f t="shared" si="366"/>
        <v>0</v>
      </c>
      <c r="AO78" s="3">
        <f t="shared" si="366"/>
        <v>0</v>
      </c>
      <c r="AP78" s="3">
        <f t="shared" si="366"/>
        <v>0</v>
      </c>
      <c r="AQ78" s="3">
        <f t="shared" si="366"/>
        <v>0</v>
      </c>
      <c r="AR78" s="3">
        <f t="shared" si="366"/>
        <v>0</v>
      </c>
      <c r="AS78" s="3">
        <f t="shared" si="366"/>
        <v>0</v>
      </c>
      <c r="AU78" s="3">
        <f t="shared" ref="AU78:BF78" si="367">IF(AND(AU$5&gt;=$C78,AU$5&lt;=$D78),$E78,0)</f>
        <v>0</v>
      </c>
      <c r="AV78" s="3">
        <f t="shared" si="367"/>
        <v>0</v>
      </c>
      <c r="AW78" s="3">
        <f t="shared" si="367"/>
        <v>0</v>
      </c>
      <c r="AX78" s="3">
        <f t="shared" si="367"/>
        <v>0</v>
      </c>
      <c r="AY78" s="3">
        <f t="shared" si="367"/>
        <v>0</v>
      </c>
      <c r="AZ78" s="3">
        <f t="shared" si="367"/>
        <v>0</v>
      </c>
      <c r="BA78" s="3">
        <f t="shared" si="367"/>
        <v>0</v>
      </c>
      <c r="BB78" s="3">
        <f t="shared" si="367"/>
        <v>0</v>
      </c>
      <c r="BC78" s="3">
        <f t="shared" si="367"/>
        <v>0</v>
      </c>
      <c r="BD78" s="3">
        <f t="shared" si="367"/>
        <v>0</v>
      </c>
      <c r="BE78" s="3">
        <f t="shared" si="367"/>
        <v>0</v>
      </c>
      <c r="BF78" s="3">
        <f t="shared" si="367"/>
        <v>0</v>
      </c>
      <c r="BG78" s="2"/>
      <c r="BH78" s="3">
        <f t="shared" ref="BH78:BS78" si="368">IF(AND(BH$5&gt;=$C78,BH$5&lt;=$D78),$E78,0)</f>
        <v>0</v>
      </c>
      <c r="BI78" s="3">
        <f t="shared" si="368"/>
        <v>0</v>
      </c>
      <c r="BJ78" s="3">
        <f t="shared" si="368"/>
        <v>0</v>
      </c>
      <c r="BK78" s="3">
        <f t="shared" si="368"/>
        <v>0</v>
      </c>
      <c r="BL78" s="3">
        <f t="shared" si="368"/>
        <v>0</v>
      </c>
      <c r="BM78" s="3">
        <f t="shared" si="368"/>
        <v>0</v>
      </c>
      <c r="BN78" s="3">
        <f t="shared" si="368"/>
        <v>0</v>
      </c>
      <c r="BO78" s="3">
        <f t="shared" si="368"/>
        <v>0</v>
      </c>
      <c r="BP78" s="3">
        <f t="shared" si="368"/>
        <v>0</v>
      </c>
      <c r="BQ78" s="3">
        <f t="shared" si="368"/>
        <v>0</v>
      </c>
      <c r="BR78" s="3">
        <f t="shared" si="368"/>
        <v>0</v>
      </c>
      <c r="BS78" s="3">
        <f t="shared" si="368"/>
        <v>0</v>
      </c>
      <c r="BT78" s="2"/>
    </row>
    <row r="79" spans="1:72" ht="15.75" customHeight="1">
      <c r="A79" s="54" t="str">
        <f>IF('Capital purchases'!C83="","",'Capital purchases'!C83)</f>
        <v/>
      </c>
      <c r="B79" s="2"/>
      <c r="C79" s="2" t="str">
        <f>IF($A79="","",'Capital purchases'!B83)</f>
        <v/>
      </c>
      <c r="D79" s="3" t="str">
        <f>IF($A79="","",'Capital purchases'!J83)</f>
        <v/>
      </c>
      <c r="E79" s="161" t="str">
        <f>IF($A79="","",'Capital purchases'!I83)</f>
        <v/>
      </c>
      <c r="H79" s="3">
        <f t="shared" ref="H79:S79" si="369">IF(AND(H$5&gt;=$C79,H$5&lt;=$D79),$E79,0)</f>
        <v>0</v>
      </c>
      <c r="I79" s="3">
        <f t="shared" si="369"/>
        <v>0</v>
      </c>
      <c r="J79" s="3">
        <f t="shared" si="369"/>
        <v>0</v>
      </c>
      <c r="K79" s="3">
        <f t="shared" si="369"/>
        <v>0</v>
      </c>
      <c r="L79" s="3">
        <f t="shared" si="369"/>
        <v>0</v>
      </c>
      <c r="M79" s="3">
        <f t="shared" si="369"/>
        <v>0</v>
      </c>
      <c r="N79" s="3">
        <f t="shared" si="369"/>
        <v>0</v>
      </c>
      <c r="O79" s="3">
        <f t="shared" si="369"/>
        <v>0</v>
      </c>
      <c r="P79" s="3">
        <f t="shared" si="369"/>
        <v>0</v>
      </c>
      <c r="Q79" s="3">
        <f t="shared" si="369"/>
        <v>0</v>
      </c>
      <c r="R79" s="3">
        <f t="shared" si="369"/>
        <v>0</v>
      </c>
      <c r="S79" s="3">
        <f t="shared" si="369"/>
        <v>0</v>
      </c>
      <c r="U79" s="3">
        <f t="shared" ref="U79:AF79" si="370">IF(AND(U$5&gt;=$C79,U$5&lt;=$D79),$E79,0)</f>
        <v>0</v>
      </c>
      <c r="V79" s="3">
        <f t="shared" si="370"/>
        <v>0</v>
      </c>
      <c r="W79" s="3">
        <f t="shared" si="370"/>
        <v>0</v>
      </c>
      <c r="X79" s="3">
        <f t="shared" si="370"/>
        <v>0</v>
      </c>
      <c r="Y79" s="3">
        <f t="shared" si="370"/>
        <v>0</v>
      </c>
      <c r="Z79" s="3">
        <f t="shared" si="370"/>
        <v>0</v>
      </c>
      <c r="AA79" s="3">
        <f t="shared" si="370"/>
        <v>0</v>
      </c>
      <c r="AB79" s="3">
        <f t="shared" si="370"/>
        <v>0</v>
      </c>
      <c r="AC79" s="3">
        <f t="shared" si="370"/>
        <v>0</v>
      </c>
      <c r="AD79" s="3">
        <f t="shared" si="370"/>
        <v>0</v>
      </c>
      <c r="AE79" s="3">
        <f t="shared" si="370"/>
        <v>0</v>
      </c>
      <c r="AF79" s="3">
        <f t="shared" si="370"/>
        <v>0</v>
      </c>
      <c r="AH79" s="3">
        <f t="shared" ref="AH79:AS79" si="371">IF(AND(AH$5&gt;=$C79,AH$5&lt;=$D79),$E79,0)</f>
        <v>0</v>
      </c>
      <c r="AI79" s="3">
        <f t="shared" si="371"/>
        <v>0</v>
      </c>
      <c r="AJ79" s="3">
        <f t="shared" si="371"/>
        <v>0</v>
      </c>
      <c r="AK79" s="3">
        <f t="shared" si="371"/>
        <v>0</v>
      </c>
      <c r="AL79" s="3">
        <f t="shared" si="371"/>
        <v>0</v>
      </c>
      <c r="AM79" s="3">
        <f t="shared" si="371"/>
        <v>0</v>
      </c>
      <c r="AN79" s="3">
        <f t="shared" si="371"/>
        <v>0</v>
      </c>
      <c r="AO79" s="3">
        <f t="shared" si="371"/>
        <v>0</v>
      </c>
      <c r="AP79" s="3">
        <f t="shared" si="371"/>
        <v>0</v>
      </c>
      <c r="AQ79" s="3">
        <f t="shared" si="371"/>
        <v>0</v>
      </c>
      <c r="AR79" s="3">
        <f t="shared" si="371"/>
        <v>0</v>
      </c>
      <c r="AS79" s="3">
        <f t="shared" si="371"/>
        <v>0</v>
      </c>
      <c r="AU79" s="3">
        <f t="shared" ref="AU79:BF79" si="372">IF(AND(AU$5&gt;=$C79,AU$5&lt;=$D79),$E79,0)</f>
        <v>0</v>
      </c>
      <c r="AV79" s="3">
        <f t="shared" si="372"/>
        <v>0</v>
      </c>
      <c r="AW79" s="3">
        <f t="shared" si="372"/>
        <v>0</v>
      </c>
      <c r="AX79" s="3">
        <f t="shared" si="372"/>
        <v>0</v>
      </c>
      <c r="AY79" s="3">
        <f t="shared" si="372"/>
        <v>0</v>
      </c>
      <c r="AZ79" s="3">
        <f t="shared" si="372"/>
        <v>0</v>
      </c>
      <c r="BA79" s="3">
        <f t="shared" si="372"/>
        <v>0</v>
      </c>
      <c r="BB79" s="3">
        <f t="shared" si="372"/>
        <v>0</v>
      </c>
      <c r="BC79" s="3">
        <f t="shared" si="372"/>
        <v>0</v>
      </c>
      <c r="BD79" s="3">
        <f t="shared" si="372"/>
        <v>0</v>
      </c>
      <c r="BE79" s="3">
        <f t="shared" si="372"/>
        <v>0</v>
      </c>
      <c r="BF79" s="3">
        <f t="shared" si="372"/>
        <v>0</v>
      </c>
      <c r="BG79" s="2"/>
      <c r="BH79" s="3">
        <f t="shared" ref="BH79:BS79" si="373">IF(AND(BH$5&gt;=$C79,BH$5&lt;=$D79),$E79,0)</f>
        <v>0</v>
      </c>
      <c r="BI79" s="3">
        <f t="shared" si="373"/>
        <v>0</v>
      </c>
      <c r="BJ79" s="3">
        <f t="shared" si="373"/>
        <v>0</v>
      </c>
      <c r="BK79" s="3">
        <f t="shared" si="373"/>
        <v>0</v>
      </c>
      <c r="BL79" s="3">
        <f t="shared" si="373"/>
        <v>0</v>
      </c>
      <c r="BM79" s="3">
        <f t="shared" si="373"/>
        <v>0</v>
      </c>
      <c r="BN79" s="3">
        <f t="shared" si="373"/>
        <v>0</v>
      </c>
      <c r="BO79" s="3">
        <f t="shared" si="373"/>
        <v>0</v>
      </c>
      <c r="BP79" s="3">
        <f t="shared" si="373"/>
        <v>0</v>
      </c>
      <c r="BQ79" s="3">
        <f t="shared" si="373"/>
        <v>0</v>
      </c>
      <c r="BR79" s="3">
        <f t="shared" si="373"/>
        <v>0</v>
      </c>
      <c r="BS79" s="3">
        <f t="shared" si="373"/>
        <v>0</v>
      </c>
      <c r="BT79" s="2"/>
    </row>
    <row r="80" spans="1:72" ht="15.75" customHeight="1">
      <c r="A80" s="54" t="str">
        <f>IF('Capital purchases'!C84="","",'Capital purchases'!C84)</f>
        <v/>
      </c>
      <c r="B80" s="2"/>
      <c r="C80" s="2" t="str">
        <f>IF($A80="","",'Capital purchases'!B84)</f>
        <v/>
      </c>
      <c r="D80" s="3" t="str">
        <f>IF($A80="","",'Capital purchases'!J84)</f>
        <v/>
      </c>
      <c r="E80" s="161" t="str">
        <f>IF($A80="","",'Capital purchases'!I84)</f>
        <v/>
      </c>
      <c r="H80" s="3">
        <f t="shared" ref="H80:S80" si="374">IF(AND(H$5&gt;=$C80,H$5&lt;=$D80),$E80,0)</f>
        <v>0</v>
      </c>
      <c r="I80" s="3">
        <f t="shared" si="374"/>
        <v>0</v>
      </c>
      <c r="J80" s="3">
        <f t="shared" si="374"/>
        <v>0</v>
      </c>
      <c r="K80" s="3">
        <f t="shared" si="374"/>
        <v>0</v>
      </c>
      <c r="L80" s="3">
        <f t="shared" si="374"/>
        <v>0</v>
      </c>
      <c r="M80" s="3">
        <f t="shared" si="374"/>
        <v>0</v>
      </c>
      <c r="N80" s="3">
        <f t="shared" si="374"/>
        <v>0</v>
      </c>
      <c r="O80" s="3">
        <f t="shared" si="374"/>
        <v>0</v>
      </c>
      <c r="P80" s="3">
        <f t="shared" si="374"/>
        <v>0</v>
      </c>
      <c r="Q80" s="3">
        <f t="shared" si="374"/>
        <v>0</v>
      </c>
      <c r="R80" s="3">
        <f t="shared" si="374"/>
        <v>0</v>
      </c>
      <c r="S80" s="3">
        <f t="shared" si="374"/>
        <v>0</v>
      </c>
      <c r="U80" s="3">
        <f t="shared" ref="U80:AF80" si="375">IF(AND(U$5&gt;=$C80,U$5&lt;=$D80),$E80,0)</f>
        <v>0</v>
      </c>
      <c r="V80" s="3">
        <f t="shared" si="375"/>
        <v>0</v>
      </c>
      <c r="W80" s="3">
        <f t="shared" si="375"/>
        <v>0</v>
      </c>
      <c r="X80" s="3">
        <f t="shared" si="375"/>
        <v>0</v>
      </c>
      <c r="Y80" s="3">
        <f t="shared" si="375"/>
        <v>0</v>
      </c>
      <c r="Z80" s="3">
        <f t="shared" si="375"/>
        <v>0</v>
      </c>
      <c r="AA80" s="3">
        <f t="shared" si="375"/>
        <v>0</v>
      </c>
      <c r="AB80" s="3">
        <f t="shared" si="375"/>
        <v>0</v>
      </c>
      <c r="AC80" s="3">
        <f t="shared" si="375"/>
        <v>0</v>
      </c>
      <c r="AD80" s="3">
        <f t="shared" si="375"/>
        <v>0</v>
      </c>
      <c r="AE80" s="3">
        <f t="shared" si="375"/>
        <v>0</v>
      </c>
      <c r="AF80" s="3">
        <f t="shared" si="375"/>
        <v>0</v>
      </c>
      <c r="AH80" s="3">
        <f t="shared" ref="AH80:AS80" si="376">IF(AND(AH$5&gt;=$C80,AH$5&lt;=$D80),$E80,0)</f>
        <v>0</v>
      </c>
      <c r="AI80" s="3">
        <f t="shared" si="376"/>
        <v>0</v>
      </c>
      <c r="AJ80" s="3">
        <f t="shared" si="376"/>
        <v>0</v>
      </c>
      <c r="AK80" s="3">
        <f t="shared" si="376"/>
        <v>0</v>
      </c>
      <c r="AL80" s="3">
        <f t="shared" si="376"/>
        <v>0</v>
      </c>
      <c r="AM80" s="3">
        <f t="shared" si="376"/>
        <v>0</v>
      </c>
      <c r="AN80" s="3">
        <f t="shared" si="376"/>
        <v>0</v>
      </c>
      <c r="AO80" s="3">
        <f t="shared" si="376"/>
        <v>0</v>
      </c>
      <c r="AP80" s="3">
        <f t="shared" si="376"/>
        <v>0</v>
      </c>
      <c r="AQ80" s="3">
        <f t="shared" si="376"/>
        <v>0</v>
      </c>
      <c r="AR80" s="3">
        <f t="shared" si="376"/>
        <v>0</v>
      </c>
      <c r="AS80" s="3">
        <f t="shared" si="376"/>
        <v>0</v>
      </c>
      <c r="AU80" s="3">
        <f t="shared" ref="AU80:BF80" si="377">IF(AND(AU$5&gt;=$C80,AU$5&lt;=$D80),$E80,0)</f>
        <v>0</v>
      </c>
      <c r="AV80" s="3">
        <f t="shared" si="377"/>
        <v>0</v>
      </c>
      <c r="AW80" s="3">
        <f t="shared" si="377"/>
        <v>0</v>
      </c>
      <c r="AX80" s="3">
        <f t="shared" si="377"/>
        <v>0</v>
      </c>
      <c r="AY80" s="3">
        <f t="shared" si="377"/>
        <v>0</v>
      </c>
      <c r="AZ80" s="3">
        <f t="shared" si="377"/>
        <v>0</v>
      </c>
      <c r="BA80" s="3">
        <f t="shared" si="377"/>
        <v>0</v>
      </c>
      <c r="BB80" s="3">
        <f t="shared" si="377"/>
        <v>0</v>
      </c>
      <c r="BC80" s="3">
        <f t="shared" si="377"/>
        <v>0</v>
      </c>
      <c r="BD80" s="3">
        <f t="shared" si="377"/>
        <v>0</v>
      </c>
      <c r="BE80" s="3">
        <f t="shared" si="377"/>
        <v>0</v>
      </c>
      <c r="BF80" s="3">
        <f t="shared" si="377"/>
        <v>0</v>
      </c>
      <c r="BG80" s="2"/>
      <c r="BH80" s="3">
        <f t="shared" ref="BH80:BS80" si="378">IF(AND(BH$5&gt;=$C80,BH$5&lt;=$D80),$E80,0)</f>
        <v>0</v>
      </c>
      <c r="BI80" s="3">
        <f t="shared" si="378"/>
        <v>0</v>
      </c>
      <c r="BJ80" s="3">
        <f t="shared" si="378"/>
        <v>0</v>
      </c>
      <c r="BK80" s="3">
        <f t="shared" si="378"/>
        <v>0</v>
      </c>
      <c r="BL80" s="3">
        <f t="shared" si="378"/>
        <v>0</v>
      </c>
      <c r="BM80" s="3">
        <f t="shared" si="378"/>
        <v>0</v>
      </c>
      <c r="BN80" s="3">
        <f t="shared" si="378"/>
        <v>0</v>
      </c>
      <c r="BO80" s="3">
        <f t="shared" si="378"/>
        <v>0</v>
      </c>
      <c r="BP80" s="3">
        <f t="shared" si="378"/>
        <v>0</v>
      </c>
      <c r="BQ80" s="3">
        <f t="shared" si="378"/>
        <v>0</v>
      </c>
      <c r="BR80" s="3">
        <f t="shared" si="378"/>
        <v>0</v>
      </c>
      <c r="BS80" s="3">
        <f t="shared" si="378"/>
        <v>0</v>
      </c>
      <c r="BT80" s="2"/>
    </row>
    <row r="81" spans="1:72" ht="15.75" customHeight="1">
      <c r="A81" s="54" t="str">
        <f>IF('Capital purchases'!C85="","",'Capital purchases'!C85)</f>
        <v/>
      </c>
      <c r="B81" s="2"/>
      <c r="C81" s="2" t="str">
        <f>IF($A81="","",'Capital purchases'!B85)</f>
        <v/>
      </c>
      <c r="D81" s="3" t="str">
        <f>IF($A81="","",'Capital purchases'!J85)</f>
        <v/>
      </c>
      <c r="E81" s="161" t="str">
        <f>IF($A81="","",'Capital purchases'!I85)</f>
        <v/>
      </c>
      <c r="H81" s="3">
        <f t="shared" ref="H81:S81" si="379">IF(AND(H$5&gt;=$C81,H$5&lt;=$D81),$E81,0)</f>
        <v>0</v>
      </c>
      <c r="I81" s="3">
        <f t="shared" si="379"/>
        <v>0</v>
      </c>
      <c r="J81" s="3">
        <f t="shared" si="379"/>
        <v>0</v>
      </c>
      <c r="K81" s="3">
        <f t="shared" si="379"/>
        <v>0</v>
      </c>
      <c r="L81" s="3">
        <f t="shared" si="379"/>
        <v>0</v>
      </c>
      <c r="M81" s="3">
        <f t="shared" si="379"/>
        <v>0</v>
      </c>
      <c r="N81" s="3">
        <f t="shared" si="379"/>
        <v>0</v>
      </c>
      <c r="O81" s="3">
        <f t="shared" si="379"/>
        <v>0</v>
      </c>
      <c r="P81" s="3">
        <f t="shared" si="379"/>
        <v>0</v>
      </c>
      <c r="Q81" s="3">
        <f t="shared" si="379"/>
        <v>0</v>
      </c>
      <c r="R81" s="3">
        <f t="shared" si="379"/>
        <v>0</v>
      </c>
      <c r="S81" s="3">
        <f t="shared" si="379"/>
        <v>0</v>
      </c>
      <c r="U81" s="3">
        <f t="shared" ref="U81:AF81" si="380">IF(AND(U$5&gt;=$C81,U$5&lt;=$D81),$E81,0)</f>
        <v>0</v>
      </c>
      <c r="V81" s="3">
        <f t="shared" si="380"/>
        <v>0</v>
      </c>
      <c r="W81" s="3">
        <f t="shared" si="380"/>
        <v>0</v>
      </c>
      <c r="X81" s="3">
        <f t="shared" si="380"/>
        <v>0</v>
      </c>
      <c r="Y81" s="3">
        <f t="shared" si="380"/>
        <v>0</v>
      </c>
      <c r="Z81" s="3">
        <f t="shared" si="380"/>
        <v>0</v>
      </c>
      <c r="AA81" s="3">
        <f t="shared" si="380"/>
        <v>0</v>
      </c>
      <c r="AB81" s="3">
        <f t="shared" si="380"/>
        <v>0</v>
      </c>
      <c r="AC81" s="3">
        <f t="shared" si="380"/>
        <v>0</v>
      </c>
      <c r="AD81" s="3">
        <f t="shared" si="380"/>
        <v>0</v>
      </c>
      <c r="AE81" s="3">
        <f t="shared" si="380"/>
        <v>0</v>
      </c>
      <c r="AF81" s="3">
        <f t="shared" si="380"/>
        <v>0</v>
      </c>
      <c r="AH81" s="3">
        <f t="shared" ref="AH81:AS81" si="381">IF(AND(AH$5&gt;=$C81,AH$5&lt;=$D81),$E81,0)</f>
        <v>0</v>
      </c>
      <c r="AI81" s="3">
        <f t="shared" si="381"/>
        <v>0</v>
      </c>
      <c r="AJ81" s="3">
        <f t="shared" si="381"/>
        <v>0</v>
      </c>
      <c r="AK81" s="3">
        <f t="shared" si="381"/>
        <v>0</v>
      </c>
      <c r="AL81" s="3">
        <f t="shared" si="381"/>
        <v>0</v>
      </c>
      <c r="AM81" s="3">
        <f t="shared" si="381"/>
        <v>0</v>
      </c>
      <c r="AN81" s="3">
        <f t="shared" si="381"/>
        <v>0</v>
      </c>
      <c r="AO81" s="3">
        <f t="shared" si="381"/>
        <v>0</v>
      </c>
      <c r="AP81" s="3">
        <f t="shared" si="381"/>
        <v>0</v>
      </c>
      <c r="AQ81" s="3">
        <f t="shared" si="381"/>
        <v>0</v>
      </c>
      <c r="AR81" s="3">
        <f t="shared" si="381"/>
        <v>0</v>
      </c>
      <c r="AS81" s="3">
        <f t="shared" si="381"/>
        <v>0</v>
      </c>
      <c r="AU81" s="3">
        <f t="shared" ref="AU81:BF81" si="382">IF(AND(AU$5&gt;=$C81,AU$5&lt;=$D81),$E81,0)</f>
        <v>0</v>
      </c>
      <c r="AV81" s="3">
        <f t="shared" si="382"/>
        <v>0</v>
      </c>
      <c r="AW81" s="3">
        <f t="shared" si="382"/>
        <v>0</v>
      </c>
      <c r="AX81" s="3">
        <f t="shared" si="382"/>
        <v>0</v>
      </c>
      <c r="AY81" s="3">
        <f t="shared" si="382"/>
        <v>0</v>
      </c>
      <c r="AZ81" s="3">
        <f t="shared" si="382"/>
        <v>0</v>
      </c>
      <c r="BA81" s="3">
        <f t="shared" si="382"/>
        <v>0</v>
      </c>
      <c r="BB81" s="3">
        <f t="shared" si="382"/>
        <v>0</v>
      </c>
      <c r="BC81" s="3">
        <f t="shared" si="382"/>
        <v>0</v>
      </c>
      <c r="BD81" s="3">
        <f t="shared" si="382"/>
        <v>0</v>
      </c>
      <c r="BE81" s="3">
        <f t="shared" si="382"/>
        <v>0</v>
      </c>
      <c r="BF81" s="3">
        <f t="shared" si="382"/>
        <v>0</v>
      </c>
      <c r="BG81" s="2"/>
      <c r="BH81" s="3">
        <f t="shared" ref="BH81:BS81" si="383">IF(AND(BH$5&gt;=$C81,BH$5&lt;=$D81),$E81,0)</f>
        <v>0</v>
      </c>
      <c r="BI81" s="3">
        <f t="shared" si="383"/>
        <v>0</v>
      </c>
      <c r="BJ81" s="3">
        <f t="shared" si="383"/>
        <v>0</v>
      </c>
      <c r="BK81" s="3">
        <f t="shared" si="383"/>
        <v>0</v>
      </c>
      <c r="BL81" s="3">
        <f t="shared" si="383"/>
        <v>0</v>
      </c>
      <c r="BM81" s="3">
        <f t="shared" si="383"/>
        <v>0</v>
      </c>
      <c r="BN81" s="3">
        <f t="shared" si="383"/>
        <v>0</v>
      </c>
      <c r="BO81" s="3">
        <f t="shared" si="383"/>
        <v>0</v>
      </c>
      <c r="BP81" s="3">
        <f t="shared" si="383"/>
        <v>0</v>
      </c>
      <c r="BQ81" s="3">
        <f t="shared" si="383"/>
        <v>0</v>
      </c>
      <c r="BR81" s="3">
        <f t="shared" si="383"/>
        <v>0</v>
      </c>
      <c r="BS81" s="3">
        <f t="shared" si="383"/>
        <v>0</v>
      </c>
      <c r="BT81" s="2"/>
    </row>
    <row r="82" spans="1:72" ht="15.75" customHeight="1">
      <c r="A82" s="54" t="str">
        <f>IF('Capital purchases'!C86="","",'Capital purchases'!C86)</f>
        <v/>
      </c>
      <c r="B82" s="2"/>
      <c r="C82" s="2" t="str">
        <f>IF($A82="","",'Capital purchases'!B86)</f>
        <v/>
      </c>
      <c r="D82" s="3" t="str">
        <f>IF($A82="","",'Capital purchases'!J86)</f>
        <v/>
      </c>
      <c r="E82" s="161" t="str">
        <f>IF($A82="","",'Capital purchases'!I86)</f>
        <v/>
      </c>
      <c r="H82" s="3">
        <f t="shared" ref="H82:S82" si="384">IF(AND(H$5&gt;=$C82,H$5&lt;=$D82),$E82,0)</f>
        <v>0</v>
      </c>
      <c r="I82" s="3">
        <f t="shared" si="384"/>
        <v>0</v>
      </c>
      <c r="J82" s="3">
        <f t="shared" si="384"/>
        <v>0</v>
      </c>
      <c r="K82" s="3">
        <f t="shared" si="384"/>
        <v>0</v>
      </c>
      <c r="L82" s="3">
        <f t="shared" si="384"/>
        <v>0</v>
      </c>
      <c r="M82" s="3">
        <f t="shared" si="384"/>
        <v>0</v>
      </c>
      <c r="N82" s="3">
        <f t="shared" si="384"/>
        <v>0</v>
      </c>
      <c r="O82" s="3">
        <f t="shared" si="384"/>
        <v>0</v>
      </c>
      <c r="P82" s="3">
        <f t="shared" si="384"/>
        <v>0</v>
      </c>
      <c r="Q82" s="3">
        <f t="shared" si="384"/>
        <v>0</v>
      </c>
      <c r="R82" s="3">
        <f t="shared" si="384"/>
        <v>0</v>
      </c>
      <c r="S82" s="3">
        <f t="shared" si="384"/>
        <v>0</v>
      </c>
      <c r="U82" s="3">
        <f t="shared" ref="U82:AF82" si="385">IF(AND(U$5&gt;=$C82,U$5&lt;=$D82),$E82,0)</f>
        <v>0</v>
      </c>
      <c r="V82" s="3">
        <f t="shared" si="385"/>
        <v>0</v>
      </c>
      <c r="W82" s="3">
        <f t="shared" si="385"/>
        <v>0</v>
      </c>
      <c r="X82" s="3">
        <f t="shared" si="385"/>
        <v>0</v>
      </c>
      <c r="Y82" s="3">
        <f t="shared" si="385"/>
        <v>0</v>
      </c>
      <c r="Z82" s="3">
        <f t="shared" si="385"/>
        <v>0</v>
      </c>
      <c r="AA82" s="3">
        <f t="shared" si="385"/>
        <v>0</v>
      </c>
      <c r="AB82" s="3">
        <f t="shared" si="385"/>
        <v>0</v>
      </c>
      <c r="AC82" s="3">
        <f t="shared" si="385"/>
        <v>0</v>
      </c>
      <c r="AD82" s="3">
        <f t="shared" si="385"/>
        <v>0</v>
      </c>
      <c r="AE82" s="3">
        <f t="shared" si="385"/>
        <v>0</v>
      </c>
      <c r="AF82" s="3">
        <f t="shared" si="385"/>
        <v>0</v>
      </c>
      <c r="AH82" s="3">
        <f t="shared" ref="AH82:AS82" si="386">IF(AND(AH$5&gt;=$C82,AH$5&lt;=$D82),$E82,0)</f>
        <v>0</v>
      </c>
      <c r="AI82" s="3">
        <f t="shared" si="386"/>
        <v>0</v>
      </c>
      <c r="AJ82" s="3">
        <f t="shared" si="386"/>
        <v>0</v>
      </c>
      <c r="AK82" s="3">
        <f t="shared" si="386"/>
        <v>0</v>
      </c>
      <c r="AL82" s="3">
        <f t="shared" si="386"/>
        <v>0</v>
      </c>
      <c r="AM82" s="3">
        <f t="shared" si="386"/>
        <v>0</v>
      </c>
      <c r="AN82" s="3">
        <f t="shared" si="386"/>
        <v>0</v>
      </c>
      <c r="AO82" s="3">
        <f t="shared" si="386"/>
        <v>0</v>
      </c>
      <c r="AP82" s="3">
        <f t="shared" si="386"/>
        <v>0</v>
      </c>
      <c r="AQ82" s="3">
        <f t="shared" si="386"/>
        <v>0</v>
      </c>
      <c r="AR82" s="3">
        <f t="shared" si="386"/>
        <v>0</v>
      </c>
      <c r="AS82" s="3">
        <f t="shared" si="386"/>
        <v>0</v>
      </c>
      <c r="AU82" s="3">
        <f t="shared" ref="AU82:BF82" si="387">IF(AND(AU$5&gt;=$C82,AU$5&lt;=$D82),$E82,0)</f>
        <v>0</v>
      </c>
      <c r="AV82" s="3">
        <f t="shared" si="387"/>
        <v>0</v>
      </c>
      <c r="AW82" s="3">
        <f t="shared" si="387"/>
        <v>0</v>
      </c>
      <c r="AX82" s="3">
        <f t="shared" si="387"/>
        <v>0</v>
      </c>
      <c r="AY82" s="3">
        <f t="shared" si="387"/>
        <v>0</v>
      </c>
      <c r="AZ82" s="3">
        <f t="shared" si="387"/>
        <v>0</v>
      </c>
      <c r="BA82" s="3">
        <f t="shared" si="387"/>
        <v>0</v>
      </c>
      <c r="BB82" s="3">
        <f t="shared" si="387"/>
        <v>0</v>
      </c>
      <c r="BC82" s="3">
        <f t="shared" si="387"/>
        <v>0</v>
      </c>
      <c r="BD82" s="3">
        <f t="shared" si="387"/>
        <v>0</v>
      </c>
      <c r="BE82" s="3">
        <f t="shared" si="387"/>
        <v>0</v>
      </c>
      <c r="BF82" s="3">
        <f t="shared" si="387"/>
        <v>0</v>
      </c>
      <c r="BG82" s="2"/>
      <c r="BH82" s="3">
        <f t="shared" ref="BH82:BS82" si="388">IF(AND(BH$5&gt;=$C82,BH$5&lt;=$D82),$E82,0)</f>
        <v>0</v>
      </c>
      <c r="BI82" s="3">
        <f t="shared" si="388"/>
        <v>0</v>
      </c>
      <c r="BJ82" s="3">
        <f t="shared" si="388"/>
        <v>0</v>
      </c>
      <c r="BK82" s="3">
        <f t="shared" si="388"/>
        <v>0</v>
      </c>
      <c r="BL82" s="3">
        <f t="shared" si="388"/>
        <v>0</v>
      </c>
      <c r="BM82" s="3">
        <f t="shared" si="388"/>
        <v>0</v>
      </c>
      <c r="BN82" s="3">
        <f t="shared" si="388"/>
        <v>0</v>
      </c>
      <c r="BO82" s="3">
        <f t="shared" si="388"/>
        <v>0</v>
      </c>
      <c r="BP82" s="3">
        <f t="shared" si="388"/>
        <v>0</v>
      </c>
      <c r="BQ82" s="3">
        <f t="shared" si="388"/>
        <v>0</v>
      </c>
      <c r="BR82" s="3">
        <f t="shared" si="388"/>
        <v>0</v>
      </c>
      <c r="BS82" s="3">
        <f t="shared" si="388"/>
        <v>0</v>
      </c>
      <c r="BT82" s="2"/>
    </row>
    <row r="83" spans="1:72" ht="15.75" customHeight="1">
      <c r="A83" s="54" t="str">
        <f>IF('Capital purchases'!C87="","",'Capital purchases'!C87)</f>
        <v/>
      </c>
      <c r="B83" s="2"/>
      <c r="C83" s="2" t="str">
        <f>IF($A83="","",'Capital purchases'!B87)</f>
        <v/>
      </c>
      <c r="D83" s="3" t="str">
        <f>IF($A83="","",'Capital purchases'!J87)</f>
        <v/>
      </c>
      <c r="E83" s="161" t="str">
        <f>IF($A83="","",'Capital purchases'!I87)</f>
        <v/>
      </c>
      <c r="H83" s="3">
        <f t="shared" ref="H83:S83" si="389">IF(AND(H$5&gt;=$C83,H$5&lt;=$D83),$E83,0)</f>
        <v>0</v>
      </c>
      <c r="I83" s="3">
        <f t="shared" si="389"/>
        <v>0</v>
      </c>
      <c r="J83" s="3">
        <f t="shared" si="389"/>
        <v>0</v>
      </c>
      <c r="K83" s="3">
        <f t="shared" si="389"/>
        <v>0</v>
      </c>
      <c r="L83" s="3">
        <f t="shared" si="389"/>
        <v>0</v>
      </c>
      <c r="M83" s="3">
        <f t="shared" si="389"/>
        <v>0</v>
      </c>
      <c r="N83" s="3">
        <f t="shared" si="389"/>
        <v>0</v>
      </c>
      <c r="O83" s="3">
        <f t="shared" si="389"/>
        <v>0</v>
      </c>
      <c r="P83" s="3">
        <f t="shared" si="389"/>
        <v>0</v>
      </c>
      <c r="Q83" s="3">
        <f t="shared" si="389"/>
        <v>0</v>
      </c>
      <c r="R83" s="3">
        <f t="shared" si="389"/>
        <v>0</v>
      </c>
      <c r="S83" s="3">
        <f t="shared" si="389"/>
        <v>0</v>
      </c>
      <c r="U83" s="3">
        <f t="shared" ref="U83:AF83" si="390">IF(AND(U$5&gt;=$C83,U$5&lt;=$D83),$E83,0)</f>
        <v>0</v>
      </c>
      <c r="V83" s="3">
        <f t="shared" si="390"/>
        <v>0</v>
      </c>
      <c r="W83" s="3">
        <f t="shared" si="390"/>
        <v>0</v>
      </c>
      <c r="X83" s="3">
        <f t="shared" si="390"/>
        <v>0</v>
      </c>
      <c r="Y83" s="3">
        <f t="shared" si="390"/>
        <v>0</v>
      </c>
      <c r="Z83" s="3">
        <f t="shared" si="390"/>
        <v>0</v>
      </c>
      <c r="AA83" s="3">
        <f t="shared" si="390"/>
        <v>0</v>
      </c>
      <c r="AB83" s="3">
        <f t="shared" si="390"/>
        <v>0</v>
      </c>
      <c r="AC83" s="3">
        <f t="shared" si="390"/>
        <v>0</v>
      </c>
      <c r="AD83" s="3">
        <f t="shared" si="390"/>
        <v>0</v>
      </c>
      <c r="AE83" s="3">
        <f t="shared" si="390"/>
        <v>0</v>
      </c>
      <c r="AF83" s="3">
        <f t="shared" si="390"/>
        <v>0</v>
      </c>
      <c r="AH83" s="3">
        <f t="shared" ref="AH83:AS83" si="391">IF(AND(AH$5&gt;=$C83,AH$5&lt;=$D83),$E83,0)</f>
        <v>0</v>
      </c>
      <c r="AI83" s="3">
        <f t="shared" si="391"/>
        <v>0</v>
      </c>
      <c r="AJ83" s="3">
        <f t="shared" si="391"/>
        <v>0</v>
      </c>
      <c r="AK83" s="3">
        <f t="shared" si="391"/>
        <v>0</v>
      </c>
      <c r="AL83" s="3">
        <f t="shared" si="391"/>
        <v>0</v>
      </c>
      <c r="AM83" s="3">
        <f t="shared" si="391"/>
        <v>0</v>
      </c>
      <c r="AN83" s="3">
        <f t="shared" si="391"/>
        <v>0</v>
      </c>
      <c r="AO83" s="3">
        <f t="shared" si="391"/>
        <v>0</v>
      </c>
      <c r="AP83" s="3">
        <f t="shared" si="391"/>
        <v>0</v>
      </c>
      <c r="AQ83" s="3">
        <f t="shared" si="391"/>
        <v>0</v>
      </c>
      <c r="AR83" s="3">
        <f t="shared" si="391"/>
        <v>0</v>
      </c>
      <c r="AS83" s="3">
        <f t="shared" si="391"/>
        <v>0</v>
      </c>
      <c r="AU83" s="3">
        <f t="shared" ref="AU83:BF83" si="392">IF(AND(AU$5&gt;=$C83,AU$5&lt;=$D83),$E83,0)</f>
        <v>0</v>
      </c>
      <c r="AV83" s="3">
        <f t="shared" si="392"/>
        <v>0</v>
      </c>
      <c r="AW83" s="3">
        <f t="shared" si="392"/>
        <v>0</v>
      </c>
      <c r="AX83" s="3">
        <f t="shared" si="392"/>
        <v>0</v>
      </c>
      <c r="AY83" s="3">
        <f t="shared" si="392"/>
        <v>0</v>
      </c>
      <c r="AZ83" s="3">
        <f t="shared" si="392"/>
        <v>0</v>
      </c>
      <c r="BA83" s="3">
        <f t="shared" si="392"/>
        <v>0</v>
      </c>
      <c r="BB83" s="3">
        <f t="shared" si="392"/>
        <v>0</v>
      </c>
      <c r="BC83" s="3">
        <f t="shared" si="392"/>
        <v>0</v>
      </c>
      <c r="BD83" s="3">
        <f t="shared" si="392"/>
        <v>0</v>
      </c>
      <c r="BE83" s="3">
        <f t="shared" si="392"/>
        <v>0</v>
      </c>
      <c r="BF83" s="3">
        <f t="shared" si="392"/>
        <v>0</v>
      </c>
      <c r="BG83" s="2"/>
      <c r="BH83" s="3">
        <f t="shared" ref="BH83:BS83" si="393">IF(AND(BH$5&gt;=$C83,BH$5&lt;=$D83),$E83,0)</f>
        <v>0</v>
      </c>
      <c r="BI83" s="3">
        <f t="shared" si="393"/>
        <v>0</v>
      </c>
      <c r="BJ83" s="3">
        <f t="shared" si="393"/>
        <v>0</v>
      </c>
      <c r="BK83" s="3">
        <f t="shared" si="393"/>
        <v>0</v>
      </c>
      <c r="BL83" s="3">
        <f t="shared" si="393"/>
        <v>0</v>
      </c>
      <c r="BM83" s="3">
        <f t="shared" si="393"/>
        <v>0</v>
      </c>
      <c r="BN83" s="3">
        <f t="shared" si="393"/>
        <v>0</v>
      </c>
      <c r="BO83" s="3">
        <f t="shared" si="393"/>
        <v>0</v>
      </c>
      <c r="BP83" s="3">
        <f t="shared" si="393"/>
        <v>0</v>
      </c>
      <c r="BQ83" s="3">
        <f t="shared" si="393"/>
        <v>0</v>
      </c>
      <c r="BR83" s="3">
        <f t="shared" si="393"/>
        <v>0</v>
      </c>
      <c r="BS83" s="3">
        <f t="shared" si="393"/>
        <v>0</v>
      </c>
      <c r="BT83" s="2"/>
    </row>
    <row r="84" spans="1:72" ht="15.75" customHeight="1">
      <c r="A84" s="54" t="str">
        <f>IF('Capital purchases'!C88="","",'Capital purchases'!C88)</f>
        <v/>
      </c>
      <c r="B84" s="2"/>
      <c r="C84" s="2" t="str">
        <f>IF($A84="","",'Capital purchases'!B88)</f>
        <v/>
      </c>
      <c r="D84" s="3" t="str">
        <f>IF($A84="","",'Capital purchases'!J88)</f>
        <v/>
      </c>
      <c r="E84" s="161" t="str">
        <f>IF($A84="","",'Capital purchases'!I88)</f>
        <v/>
      </c>
      <c r="H84" s="3">
        <f t="shared" ref="H84:S84" si="394">IF(AND(H$5&gt;=$C84,H$5&lt;=$D84),$E84,0)</f>
        <v>0</v>
      </c>
      <c r="I84" s="3">
        <f t="shared" si="394"/>
        <v>0</v>
      </c>
      <c r="J84" s="3">
        <f t="shared" si="394"/>
        <v>0</v>
      </c>
      <c r="K84" s="3">
        <f t="shared" si="394"/>
        <v>0</v>
      </c>
      <c r="L84" s="3">
        <f t="shared" si="394"/>
        <v>0</v>
      </c>
      <c r="M84" s="3">
        <f t="shared" si="394"/>
        <v>0</v>
      </c>
      <c r="N84" s="3">
        <f t="shared" si="394"/>
        <v>0</v>
      </c>
      <c r="O84" s="3">
        <f t="shared" si="394"/>
        <v>0</v>
      </c>
      <c r="P84" s="3">
        <f t="shared" si="394"/>
        <v>0</v>
      </c>
      <c r="Q84" s="3">
        <f t="shared" si="394"/>
        <v>0</v>
      </c>
      <c r="R84" s="3">
        <f t="shared" si="394"/>
        <v>0</v>
      </c>
      <c r="S84" s="3">
        <f t="shared" si="394"/>
        <v>0</v>
      </c>
      <c r="U84" s="3">
        <f t="shared" ref="U84:AF84" si="395">IF(AND(U$5&gt;=$C84,U$5&lt;=$D84),$E84,0)</f>
        <v>0</v>
      </c>
      <c r="V84" s="3">
        <f t="shared" si="395"/>
        <v>0</v>
      </c>
      <c r="W84" s="3">
        <f t="shared" si="395"/>
        <v>0</v>
      </c>
      <c r="X84" s="3">
        <f t="shared" si="395"/>
        <v>0</v>
      </c>
      <c r="Y84" s="3">
        <f t="shared" si="395"/>
        <v>0</v>
      </c>
      <c r="Z84" s="3">
        <f t="shared" si="395"/>
        <v>0</v>
      </c>
      <c r="AA84" s="3">
        <f t="shared" si="395"/>
        <v>0</v>
      </c>
      <c r="AB84" s="3">
        <f t="shared" si="395"/>
        <v>0</v>
      </c>
      <c r="AC84" s="3">
        <f t="shared" si="395"/>
        <v>0</v>
      </c>
      <c r="AD84" s="3">
        <f t="shared" si="395"/>
        <v>0</v>
      </c>
      <c r="AE84" s="3">
        <f t="shared" si="395"/>
        <v>0</v>
      </c>
      <c r="AF84" s="3">
        <f t="shared" si="395"/>
        <v>0</v>
      </c>
      <c r="AH84" s="3">
        <f t="shared" ref="AH84:AS84" si="396">IF(AND(AH$5&gt;=$C84,AH$5&lt;=$D84),$E84,0)</f>
        <v>0</v>
      </c>
      <c r="AI84" s="3">
        <f t="shared" si="396"/>
        <v>0</v>
      </c>
      <c r="AJ84" s="3">
        <f t="shared" si="396"/>
        <v>0</v>
      </c>
      <c r="AK84" s="3">
        <f t="shared" si="396"/>
        <v>0</v>
      </c>
      <c r="AL84" s="3">
        <f t="shared" si="396"/>
        <v>0</v>
      </c>
      <c r="AM84" s="3">
        <f t="shared" si="396"/>
        <v>0</v>
      </c>
      <c r="AN84" s="3">
        <f t="shared" si="396"/>
        <v>0</v>
      </c>
      <c r="AO84" s="3">
        <f t="shared" si="396"/>
        <v>0</v>
      </c>
      <c r="AP84" s="3">
        <f t="shared" si="396"/>
        <v>0</v>
      </c>
      <c r="AQ84" s="3">
        <f t="shared" si="396"/>
        <v>0</v>
      </c>
      <c r="AR84" s="3">
        <f t="shared" si="396"/>
        <v>0</v>
      </c>
      <c r="AS84" s="3">
        <f t="shared" si="396"/>
        <v>0</v>
      </c>
      <c r="AU84" s="3">
        <f t="shared" ref="AU84:BF84" si="397">IF(AND(AU$5&gt;=$C84,AU$5&lt;=$D84),$E84,0)</f>
        <v>0</v>
      </c>
      <c r="AV84" s="3">
        <f t="shared" si="397"/>
        <v>0</v>
      </c>
      <c r="AW84" s="3">
        <f t="shared" si="397"/>
        <v>0</v>
      </c>
      <c r="AX84" s="3">
        <f t="shared" si="397"/>
        <v>0</v>
      </c>
      <c r="AY84" s="3">
        <f t="shared" si="397"/>
        <v>0</v>
      </c>
      <c r="AZ84" s="3">
        <f t="shared" si="397"/>
        <v>0</v>
      </c>
      <c r="BA84" s="3">
        <f t="shared" si="397"/>
        <v>0</v>
      </c>
      <c r="BB84" s="3">
        <f t="shared" si="397"/>
        <v>0</v>
      </c>
      <c r="BC84" s="3">
        <f t="shared" si="397"/>
        <v>0</v>
      </c>
      <c r="BD84" s="3">
        <f t="shared" si="397"/>
        <v>0</v>
      </c>
      <c r="BE84" s="3">
        <f t="shared" si="397"/>
        <v>0</v>
      </c>
      <c r="BF84" s="3">
        <f t="shared" si="397"/>
        <v>0</v>
      </c>
      <c r="BG84" s="2"/>
      <c r="BH84" s="3">
        <f t="shared" ref="BH84:BS84" si="398">IF(AND(BH$5&gt;=$C84,BH$5&lt;=$D84),$E84,0)</f>
        <v>0</v>
      </c>
      <c r="BI84" s="3">
        <f t="shared" si="398"/>
        <v>0</v>
      </c>
      <c r="BJ84" s="3">
        <f t="shared" si="398"/>
        <v>0</v>
      </c>
      <c r="BK84" s="3">
        <f t="shared" si="398"/>
        <v>0</v>
      </c>
      <c r="BL84" s="3">
        <f t="shared" si="398"/>
        <v>0</v>
      </c>
      <c r="BM84" s="3">
        <f t="shared" si="398"/>
        <v>0</v>
      </c>
      <c r="BN84" s="3">
        <f t="shared" si="398"/>
        <v>0</v>
      </c>
      <c r="BO84" s="3">
        <f t="shared" si="398"/>
        <v>0</v>
      </c>
      <c r="BP84" s="3">
        <f t="shared" si="398"/>
        <v>0</v>
      </c>
      <c r="BQ84" s="3">
        <f t="shared" si="398"/>
        <v>0</v>
      </c>
      <c r="BR84" s="3">
        <f t="shared" si="398"/>
        <v>0</v>
      </c>
      <c r="BS84" s="3">
        <f t="shared" si="398"/>
        <v>0</v>
      </c>
      <c r="BT84" s="2"/>
    </row>
    <row r="85" spans="1:72" ht="15.75" customHeight="1">
      <c r="A85" s="54" t="str">
        <f>IF('Capital purchases'!C89="","",'Capital purchases'!C89)</f>
        <v/>
      </c>
      <c r="B85" s="2"/>
      <c r="C85" s="2" t="str">
        <f>IF($A85="","",'Capital purchases'!B89)</f>
        <v/>
      </c>
      <c r="D85" s="3" t="str">
        <f>IF($A85="","",'Capital purchases'!J89)</f>
        <v/>
      </c>
      <c r="E85" s="161" t="str">
        <f>IF($A85="","",'Capital purchases'!I89)</f>
        <v/>
      </c>
      <c r="H85" s="3">
        <f t="shared" ref="H85:S85" si="399">IF(AND(H$5&gt;=$C85,H$5&lt;=$D85),$E85,0)</f>
        <v>0</v>
      </c>
      <c r="I85" s="3">
        <f t="shared" si="399"/>
        <v>0</v>
      </c>
      <c r="J85" s="3">
        <f t="shared" si="399"/>
        <v>0</v>
      </c>
      <c r="K85" s="3">
        <f t="shared" si="399"/>
        <v>0</v>
      </c>
      <c r="L85" s="3">
        <f t="shared" si="399"/>
        <v>0</v>
      </c>
      <c r="M85" s="3">
        <f t="shared" si="399"/>
        <v>0</v>
      </c>
      <c r="N85" s="3">
        <f t="shared" si="399"/>
        <v>0</v>
      </c>
      <c r="O85" s="3">
        <f t="shared" si="399"/>
        <v>0</v>
      </c>
      <c r="P85" s="3">
        <f t="shared" si="399"/>
        <v>0</v>
      </c>
      <c r="Q85" s="3">
        <f t="shared" si="399"/>
        <v>0</v>
      </c>
      <c r="R85" s="3">
        <f t="shared" si="399"/>
        <v>0</v>
      </c>
      <c r="S85" s="3">
        <f t="shared" si="399"/>
        <v>0</v>
      </c>
      <c r="U85" s="3">
        <f t="shared" ref="U85:AF85" si="400">IF(AND(U$5&gt;=$C85,U$5&lt;=$D85),$E85,0)</f>
        <v>0</v>
      </c>
      <c r="V85" s="3">
        <f t="shared" si="400"/>
        <v>0</v>
      </c>
      <c r="W85" s="3">
        <f t="shared" si="400"/>
        <v>0</v>
      </c>
      <c r="X85" s="3">
        <f t="shared" si="400"/>
        <v>0</v>
      </c>
      <c r="Y85" s="3">
        <f t="shared" si="400"/>
        <v>0</v>
      </c>
      <c r="Z85" s="3">
        <f t="shared" si="400"/>
        <v>0</v>
      </c>
      <c r="AA85" s="3">
        <f t="shared" si="400"/>
        <v>0</v>
      </c>
      <c r="AB85" s="3">
        <f t="shared" si="400"/>
        <v>0</v>
      </c>
      <c r="AC85" s="3">
        <f t="shared" si="400"/>
        <v>0</v>
      </c>
      <c r="AD85" s="3">
        <f t="shared" si="400"/>
        <v>0</v>
      </c>
      <c r="AE85" s="3">
        <f t="shared" si="400"/>
        <v>0</v>
      </c>
      <c r="AF85" s="3">
        <f t="shared" si="400"/>
        <v>0</v>
      </c>
      <c r="AH85" s="3">
        <f t="shared" ref="AH85:AS85" si="401">IF(AND(AH$5&gt;=$C85,AH$5&lt;=$D85),$E85,0)</f>
        <v>0</v>
      </c>
      <c r="AI85" s="3">
        <f t="shared" si="401"/>
        <v>0</v>
      </c>
      <c r="AJ85" s="3">
        <f t="shared" si="401"/>
        <v>0</v>
      </c>
      <c r="AK85" s="3">
        <f t="shared" si="401"/>
        <v>0</v>
      </c>
      <c r="AL85" s="3">
        <f t="shared" si="401"/>
        <v>0</v>
      </c>
      <c r="AM85" s="3">
        <f t="shared" si="401"/>
        <v>0</v>
      </c>
      <c r="AN85" s="3">
        <f t="shared" si="401"/>
        <v>0</v>
      </c>
      <c r="AO85" s="3">
        <f t="shared" si="401"/>
        <v>0</v>
      </c>
      <c r="AP85" s="3">
        <f t="shared" si="401"/>
        <v>0</v>
      </c>
      <c r="AQ85" s="3">
        <f t="shared" si="401"/>
        <v>0</v>
      </c>
      <c r="AR85" s="3">
        <f t="shared" si="401"/>
        <v>0</v>
      </c>
      <c r="AS85" s="3">
        <f t="shared" si="401"/>
        <v>0</v>
      </c>
      <c r="AU85" s="3">
        <f t="shared" ref="AU85:BF85" si="402">IF(AND(AU$5&gt;=$C85,AU$5&lt;=$D85),$E85,0)</f>
        <v>0</v>
      </c>
      <c r="AV85" s="3">
        <f t="shared" si="402"/>
        <v>0</v>
      </c>
      <c r="AW85" s="3">
        <f t="shared" si="402"/>
        <v>0</v>
      </c>
      <c r="AX85" s="3">
        <f t="shared" si="402"/>
        <v>0</v>
      </c>
      <c r="AY85" s="3">
        <f t="shared" si="402"/>
        <v>0</v>
      </c>
      <c r="AZ85" s="3">
        <f t="shared" si="402"/>
        <v>0</v>
      </c>
      <c r="BA85" s="3">
        <f t="shared" si="402"/>
        <v>0</v>
      </c>
      <c r="BB85" s="3">
        <f t="shared" si="402"/>
        <v>0</v>
      </c>
      <c r="BC85" s="3">
        <f t="shared" si="402"/>
        <v>0</v>
      </c>
      <c r="BD85" s="3">
        <f t="shared" si="402"/>
        <v>0</v>
      </c>
      <c r="BE85" s="3">
        <f t="shared" si="402"/>
        <v>0</v>
      </c>
      <c r="BF85" s="3">
        <f t="shared" si="402"/>
        <v>0</v>
      </c>
      <c r="BG85" s="2"/>
      <c r="BH85" s="3">
        <f t="shared" ref="BH85:BS85" si="403">IF(AND(BH$5&gt;=$C85,BH$5&lt;=$D85),$E85,0)</f>
        <v>0</v>
      </c>
      <c r="BI85" s="3">
        <f t="shared" si="403"/>
        <v>0</v>
      </c>
      <c r="BJ85" s="3">
        <f t="shared" si="403"/>
        <v>0</v>
      </c>
      <c r="BK85" s="3">
        <f t="shared" si="403"/>
        <v>0</v>
      </c>
      <c r="BL85" s="3">
        <f t="shared" si="403"/>
        <v>0</v>
      </c>
      <c r="BM85" s="3">
        <f t="shared" si="403"/>
        <v>0</v>
      </c>
      <c r="BN85" s="3">
        <f t="shared" si="403"/>
        <v>0</v>
      </c>
      <c r="BO85" s="3">
        <f t="shared" si="403"/>
        <v>0</v>
      </c>
      <c r="BP85" s="3">
        <f t="shared" si="403"/>
        <v>0</v>
      </c>
      <c r="BQ85" s="3">
        <f t="shared" si="403"/>
        <v>0</v>
      </c>
      <c r="BR85" s="3">
        <f t="shared" si="403"/>
        <v>0</v>
      </c>
      <c r="BS85" s="3">
        <f t="shared" si="403"/>
        <v>0</v>
      </c>
      <c r="BT85" s="2"/>
    </row>
    <row r="86" spans="1:72" ht="15.75" customHeight="1">
      <c r="A86" s="54" t="str">
        <f>IF('Capital purchases'!C90="","",'Capital purchases'!C90)</f>
        <v/>
      </c>
      <c r="B86" s="2"/>
      <c r="C86" s="2" t="str">
        <f>IF($A86="","",'Capital purchases'!B90)</f>
        <v/>
      </c>
      <c r="D86" s="3" t="str">
        <f>IF($A86="","",'Capital purchases'!J90)</f>
        <v/>
      </c>
      <c r="E86" s="161" t="str">
        <f>IF($A86="","",'Capital purchases'!I90)</f>
        <v/>
      </c>
      <c r="H86" s="3">
        <f t="shared" ref="H86:S86" si="404">IF(AND(H$5&gt;=$C86,H$5&lt;=$D86),$E86,0)</f>
        <v>0</v>
      </c>
      <c r="I86" s="3">
        <f t="shared" si="404"/>
        <v>0</v>
      </c>
      <c r="J86" s="3">
        <f t="shared" si="404"/>
        <v>0</v>
      </c>
      <c r="K86" s="3">
        <f t="shared" si="404"/>
        <v>0</v>
      </c>
      <c r="L86" s="3">
        <f t="shared" si="404"/>
        <v>0</v>
      </c>
      <c r="M86" s="3">
        <f t="shared" si="404"/>
        <v>0</v>
      </c>
      <c r="N86" s="3">
        <f t="shared" si="404"/>
        <v>0</v>
      </c>
      <c r="O86" s="3">
        <f t="shared" si="404"/>
        <v>0</v>
      </c>
      <c r="P86" s="3">
        <f t="shared" si="404"/>
        <v>0</v>
      </c>
      <c r="Q86" s="3">
        <f t="shared" si="404"/>
        <v>0</v>
      </c>
      <c r="R86" s="3">
        <f t="shared" si="404"/>
        <v>0</v>
      </c>
      <c r="S86" s="3">
        <f t="shared" si="404"/>
        <v>0</v>
      </c>
      <c r="U86" s="3">
        <f t="shared" ref="U86:AF86" si="405">IF(AND(U$5&gt;=$C86,U$5&lt;=$D86),$E86,0)</f>
        <v>0</v>
      </c>
      <c r="V86" s="3">
        <f t="shared" si="405"/>
        <v>0</v>
      </c>
      <c r="W86" s="3">
        <f t="shared" si="405"/>
        <v>0</v>
      </c>
      <c r="X86" s="3">
        <f t="shared" si="405"/>
        <v>0</v>
      </c>
      <c r="Y86" s="3">
        <f t="shared" si="405"/>
        <v>0</v>
      </c>
      <c r="Z86" s="3">
        <f t="shared" si="405"/>
        <v>0</v>
      </c>
      <c r="AA86" s="3">
        <f t="shared" si="405"/>
        <v>0</v>
      </c>
      <c r="AB86" s="3">
        <f t="shared" si="405"/>
        <v>0</v>
      </c>
      <c r="AC86" s="3">
        <f t="shared" si="405"/>
        <v>0</v>
      </c>
      <c r="AD86" s="3">
        <f t="shared" si="405"/>
        <v>0</v>
      </c>
      <c r="AE86" s="3">
        <f t="shared" si="405"/>
        <v>0</v>
      </c>
      <c r="AF86" s="3">
        <f t="shared" si="405"/>
        <v>0</v>
      </c>
      <c r="AH86" s="3">
        <f t="shared" ref="AH86:AS86" si="406">IF(AND(AH$5&gt;=$C86,AH$5&lt;=$D86),$E86,0)</f>
        <v>0</v>
      </c>
      <c r="AI86" s="3">
        <f t="shared" si="406"/>
        <v>0</v>
      </c>
      <c r="AJ86" s="3">
        <f t="shared" si="406"/>
        <v>0</v>
      </c>
      <c r="AK86" s="3">
        <f t="shared" si="406"/>
        <v>0</v>
      </c>
      <c r="AL86" s="3">
        <f t="shared" si="406"/>
        <v>0</v>
      </c>
      <c r="AM86" s="3">
        <f t="shared" si="406"/>
        <v>0</v>
      </c>
      <c r="AN86" s="3">
        <f t="shared" si="406"/>
        <v>0</v>
      </c>
      <c r="AO86" s="3">
        <f t="shared" si="406"/>
        <v>0</v>
      </c>
      <c r="AP86" s="3">
        <f t="shared" si="406"/>
        <v>0</v>
      </c>
      <c r="AQ86" s="3">
        <f t="shared" si="406"/>
        <v>0</v>
      </c>
      <c r="AR86" s="3">
        <f t="shared" si="406"/>
        <v>0</v>
      </c>
      <c r="AS86" s="3">
        <f t="shared" si="406"/>
        <v>0</v>
      </c>
      <c r="AU86" s="3">
        <f t="shared" ref="AU86:BF86" si="407">IF(AND(AU$5&gt;=$C86,AU$5&lt;=$D86),$E86,0)</f>
        <v>0</v>
      </c>
      <c r="AV86" s="3">
        <f t="shared" si="407"/>
        <v>0</v>
      </c>
      <c r="AW86" s="3">
        <f t="shared" si="407"/>
        <v>0</v>
      </c>
      <c r="AX86" s="3">
        <f t="shared" si="407"/>
        <v>0</v>
      </c>
      <c r="AY86" s="3">
        <f t="shared" si="407"/>
        <v>0</v>
      </c>
      <c r="AZ86" s="3">
        <f t="shared" si="407"/>
        <v>0</v>
      </c>
      <c r="BA86" s="3">
        <f t="shared" si="407"/>
        <v>0</v>
      </c>
      <c r="BB86" s="3">
        <f t="shared" si="407"/>
        <v>0</v>
      </c>
      <c r="BC86" s="3">
        <f t="shared" si="407"/>
        <v>0</v>
      </c>
      <c r="BD86" s="3">
        <f t="shared" si="407"/>
        <v>0</v>
      </c>
      <c r="BE86" s="3">
        <f t="shared" si="407"/>
        <v>0</v>
      </c>
      <c r="BF86" s="3">
        <f t="shared" si="407"/>
        <v>0</v>
      </c>
      <c r="BG86" s="2"/>
      <c r="BH86" s="3">
        <f t="shared" ref="BH86:BS86" si="408">IF(AND(BH$5&gt;=$C86,BH$5&lt;=$D86),$E86,0)</f>
        <v>0</v>
      </c>
      <c r="BI86" s="3">
        <f t="shared" si="408"/>
        <v>0</v>
      </c>
      <c r="BJ86" s="3">
        <f t="shared" si="408"/>
        <v>0</v>
      </c>
      <c r="BK86" s="3">
        <f t="shared" si="408"/>
        <v>0</v>
      </c>
      <c r="BL86" s="3">
        <f t="shared" si="408"/>
        <v>0</v>
      </c>
      <c r="BM86" s="3">
        <f t="shared" si="408"/>
        <v>0</v>
      </c>
      <c r="BN86" s="3">
        <f t="shared" si="408"/>
        <v>0</v>
      </c>
      <c r="BO86" s="3">
        <f t="shared" si="408"/>
        <v>0</v>
      </c>
      <c r="BP86" s="3">
        <f t="shared" si="408"/>
        <v>0</v>
      </c>
      <c r="BQ86" s="3">
        <f t="shared" si="408"/>
        <v>0</v>
      </c>
      <c r="BR86" s="3">
        <f t="shared" si="408"/>
        <v>0</v>
      </c>
      <c r="BS86" s="3">
        <f t="shared" si="408"/>
        <v>0</v>
      </c>
      <c r="BT86" s="2"/>
    </row>
    <row r="87" spans="1:72" ht="15.75" customHeight="1">
      <c r="A87" s="54" t="str">
        <f>IF('Capital purchases'!C91="","",'Capital purchases'!C91)</f>
        <v/>
      </c>
      <c r="B87" s="2"/>
      <c r="C87" s="2" t="str">
        <f>IF($A87="","",'Capital purchases'!B91)</f>
        <v/>
      </c>
      <c r="D87" s="3" t="str">
        <f>IF($A87="","",'Capital purchases'!J91)</f>
        <v/>
      </c>
      <c r="E87" s="161" t="str">
        <f>IF($A87="","",'Capital purchases'!I91)</f>
        <v/>
      </c>
      <c r="H87" s="3">
        <f t="shared" ref="H87:S87" si="409">IF(AND(H$5&gt;=$C87,H$5&lt;=$D87),$E87,0)</f>
        <v>0</v>
      </c>
      <c r="I87" s="3">
        <f t="shared" si="409"/>
        <v>0</v>
      </c>
      <c r="J87" s="3">
        <f t="shared" si="409"/>
        <v>0</v>
      </c>
      <c r="K87" s="3">
        <f t="shared" si="409"/>
        <v>0</v>
      </c>
      <c r="L87" s="3">
        <f t="shared" si="409"/>
        <v>0</v>
      </c>
      <c r="M87" s="3">
        <f t="shared" si="409"/>
        <v>0</v>
      </c>
      <c r="N87" s="3">
        <f t="shared" si="409"/>
        <v>0</v>
      </c>
      <c r="O87" s="3">
        <f t="shared" si="409"/>
        <v>0</v>
      </c>
      <c r="P87" s="3">
        <f t="shared" si="409"/>
        <v>0</v>
      </c>
      <c r="Q87" s="3">
        <f t="shared" si="409"/>
        <v>0</v>
      </c>
      <c r="R87" s="3">
        <f t="shared" si="409"/>
        <v>0</v>
      </c>
      <c r="S87" s="3">
        <f t="shared" si="409"/>
        <v>0</v>
      </c>
      <c r="U87" s="3">
        <f t="shared" ref="U87:AF87" si="410">IF(AND(U$5&gt;=$C87,U$5&lt;=$D87),$E87,0)</f>
        <v>0</v>
      </c>
      <c r="V87" s="3">
        <f t="shared" si="410"/>
        <v>0</v>
      </c>
      <c r="W87" s="3">
        <f t="shared" si="410"/>
        <v>0</v>
      </c>
      <c r="X87" s="3">
        <f t="shared" si="410"/>
        <v>0</v>
      </c>
      <c r="Y87" s="3">
        <f t="shared" si="410"/>
        <v>0</v>
      </c>
      <c r="Z87" s="3">
        <f t="shared" si="410"/>
        <v>0</v>
      </c>
      <c r="AA87" s="3">
        <f t="shared" si="410"/>
        <v>0</v>
      </c>
      <c r="AB87" s="3">
        <f t="shared" si="410"/>
        <v>0</v>
      </c>
      <c r="AC87" s="3">
        <f t="shared" si="410"/>
        <v>0</v>
      </c>
      <c r="AD87" s="3">
        <f t="shared" si="410"/>
        <v>0</v>
      </c>
      <c r="AE87" s="3">
        <f t="shared" si="410"/>
        <v>0</v>
      </c>
      <c r="AF87" s="3">
        <f t="shared" si="410"/>
        <v>0</v>
      </c>
      <c r="AH87" s="3">
        <f t="shared" ref="AH87:AS87" si="411">IF(AND(AH$5&gt;=$C87,AH$5&lt;=$D87),$E87,0)</f>
        <v>0</v>
      </c>
      <c r="AI87" s="3">
        <f t="shared" si="411"/>
        <v>0</v>
      </c>
      <c r="AJ87" s="3">
        <f t="shared" si="411"/>
        <v>0</v>
      </c>
      <c r="AK87" s="3">
        <f t="shared" si="411"/>
        <v>0</v>
      </c>
      <c r="AL87" s="3">
        <f t="shared" si="411"/>
        <v>0</v>
      </c>
      <c r="AM87" s="3">
        <f t="shared" si="411"/>
        <v>0</v>
      </c>
      <c r="AN87" s="3">
        <f t="shared" si="411"/>
        <v>0</v>
      </c>
      <c r="AO87" s="3">
        <f t="shared" si="411"/>
        <v>0</v>
      </c>
      <c r="AP87" s="3">
        <f t="shared" si="411"/>
        <v>0</v>
      </c>
      <c r="AQ87" s="3">
        <f t="shared" si="411"/>
        <v>0</v>
      </c>
      <c r="AR87" s="3">
        <f t="shared" si="411"/>
        <v>0</v>
      </c>
      <c r="AS87" s="3">
        <f t="shared" si="411"/>
        <v>0</v>
      </c>
      <c r="AU87" s="3">
        <f t="shared" ref="AU87:BF87" si="412">IF(AND(AU$5&gt;=$C87,AU$5&lt;=$D87),$E87,0)</f>
        <v>0</v>
      </c>
      <c r="AV87" s="3">
        <f t="shared" si="412"/>
        <v>0</v>
      </c>
      <c r="AW87" s="3">
        <f t="shared" si="412"/>
        <v>0</v>
      </c>
      <c r="AX87" s="3">
        <f t="shared" si="412"/>
        <v>0</v>
      </c>
      <c r="AY87" s="3">
        <f t="shared" si="412"/>
        <v>0</v>
      </c>
      <c r="AZ87" s="3">
        <f t="shared" si="412"/>
        <v>0</v>
      </c>
      <c r="BA87" s="3">
        <f t="shared" si="412"/>
        <v>0</v>
      </c>
      <c r="BB87" s="3">
        <f t="shared" si="412"/>
        <v>0</v>
      </c>
      <c r="BC87" s="3">
        <f t="shared" si="412"/>
        <v>0</v>
      </c>
      <c r="BD87" s="3">
        <f t="shared" si="412"/>
        <v>0</v>
      </c>
      <c r="BE87" s="3">
        <f t="shared" si="412"/>
        <v>0</v>
      </c>
      <c r="BF87" s="3">
        <f t="shared" si="412"/>
        <v>0</v>
      </c>
      <c r="BG87" s="2"/>
      <c r="BH87" s="3">
        <f t="shared" ref="BH87:BS87" si="413">IF(AND(BH$5&gt;=$C87,BH$5&lt;=$D87),$E87,0)</f>
        <v>0</v>
      </c>
      <c r="BI87" s="3">
        <f t="shared" si="413"/>
        <v>0</v>
      </c>
      <c r="BJ87" s="3">
        <f t="shared" si="413"/>
        <v>0</v>
      </c>
      <c r="BK87" s="3">
        <f t="shared" si="413"/>
        <v>0</v>
      </c>
      <c r="BL87" s="3">
        <f t="shared" si="413"/>
        <v>0</v>
      </c>
      <c r="BM87" s="3">
        <f t="shared" si="413"/>
        <v>0</v>
      </c>
      <c r="BN87" s="3">
        <f t="shared" si="413"/>
        <v>0</v>
      </c>
      <c r="BO87" s="3">
        <f t="shared" si="413"/>
        <v>0</v>
      </c>
      <c r="BP87" s="3">
        <f t="shared" si="413"/>
        <v>0</v>
      </c>
      <c r="BQ87" s="3">
        <f t="shared" si="413"/>
        <v>0</v>
      </c>
      <c r="BR87" s="3">
        <f t="shared" si="413"/>
        <v>0</v>
      </c>
      <c r="BS87" s="3">
        <f t="shared" si="413"/>
        <v>0</v>
      </c>
      <c r="BT87" s="2"/>
    </row>
    <row r="88" spans="1:72" ht="15.75" customHeight="1">
      <c r="A88" s="54" t="str">
        <f>IF('Capital purchases'!C92="","",'Capital purchases'!C92)</f>
        <v/>
      </c>
      <c r="B88" s="2"/>
      <c r="C88" s="2" t="str">
        <f>IF($A88="","",'Capital purchases'!B92)</f>
        <v/>
      </c>
      <c r="D88" s="3" t="str">
        <f>IF($A88="","",'Capital purchases'!J92)</f>
        <v/>
      </c>
      <c r="E88" s="161" t="str">
        <f>IF($A88="","",'Capital purchases'!I92)</f>
        <v/>
      </c>
      <c r="H88" s="3">
        <f t="shared" ref="H88:S88" si="414">IF(AND(H$5&gt;=$C88,H$5&lt;=$D88),$E88,0)</f>
        <v>0</v>
      </c>
      <c r="I88" s="3">
        <f t="shared" si="414"/>
        <v>0</v>
      </c>
      <c r="J88" s="3">
        <f t="shared" si="414"/>
        <v>0</v>
      </c>
      <c r="K88" s="3">
        <f t="shared" si="414"/>
        <v>0</v>
      </c>
      <c r="L88" s="3">
        <f t="shared" si="414"/>
        <v>0</v>
      </c>
      <c r="M88" s="3">
        <f t="shared" si="414"/>
        <v>0</v>
      </c>
      <c r="N88" s="3">
        <f t="shared" si="414"/>
        <v>0</v>
      </c>
      <c r="O88" s="3">
        <f t="shared" si="414"/>
        <v>0</v>
      </c>
      <c r="P88" s="3">
        <f t="shared" si="414"/>
        <v>0</v>
      </c>
      <c r="Q88" s="3">
        <f t="shared" si="414"/>
        <v>0</v>
      </c>
      <c r="R88" s="3">
        <f t="shared" si="414"/>
        <v>0</v>
      </c>
      <c r="S88" s="3">
        <f t="shared" si="414"/>
        <v>0</v>
      </c>
      <c r="U88" s="3">
        <f t="shared" ref="U88:AF88" si="415">IF(AND(U$5&gt;=$C88,U$5&lt;=$D88),$E88,0)</f>
        <v>0</v>
      </c>
      <c r="V88" s="3">
        <f t="shared" si="415"/>
        <v>0</v>
      </c>
      <c r="W88" s="3">
        <f t="shared" si="415"/>
        <v>0</v>
      </c>
      <c r="X88" s="3">
        <f t="shared" si="415"/>
        <v>0</v>
      </c>
      <c r="Y88" s="3">
        <f t="shared" si="415"/>
        <v>0</v>
      </c>
      <c r="Z88" s="3">
        <f t="shared" si="415"/>
        <v>0</v>
      </c>
      <c r="AA88" s="3">
        <f t="shared" si="415"/>
        <v>0</v>
      </c>
      <c r="AB88" s="3">
        <f t="shared" si="415"/>
        <v>0</v>
      </c>
      <c r="AC88" s="3">
        <f t="shared" si="415"/>
        <v>0</v>
      </c>
      <c r="AD88" s="3">
        <f t="shared" si="415"/>
        <v>0</v>
      </c>
      <c r="AE88" s="3">
        <f t="shared" si="415"/>
        <v>0</v>
      </c>
      <c r="AF88" s="3">
        <f t="shared" si="415"/>
        <v>0</v>
      </c>
      <c r="AH88" s="3">
        <f t="shared" ref="AH88:AS88" si="416">IF(AND(AH$5&gt;=$C88,AH$5&lt;=$D88),$E88,0)</f>
        <v>0</v>
      </c>
      <c r="AI88" s="3">
        <f t="shared" si="416"/>
        <v>0</v>
      </c>
      <c r="AJ88" s="3">
        <f t="shared" si="416"/>
        <v>0</v>
      </c>
      <c r="AK88" s="3">
        <f t="shared" si="416"/>
        <v>0</v>
      </c>
      <c r="AL88" s="3">
        <f t="shared" si="416"/>
        <v>0</v>
      </c>
      <c r="AM88" s="3">
        <f t="shared" si="416"/>
        <v>0</v>
      </c>
      <c r="AN88" s="3">
        <f t="shared" si="416"/>
        <v>0</v>
      </c>
      <c r="AO88" s="3">
        <f t="shared" si="416"/>
        <v>0</v>
      </c>
      <c r="AP88" s="3">
        <f t="shared" si="416"/>
        <v>0</v>
      </c>
      <c r="AQ88" s="3">
        <f t="shared" si="416"/>
        <v>0</v>
      </c>
      <c r="AR88" s="3">
        <f t="shared" si="416"/>
        <v>0</v>
      </c>
      <c r="AS88" s="3">
        <f t="shared" si="416"/>
        <v>0</v>
      </c>
      <c r="AU88" s="3">
        <f t="shared" ref="AU88:BF88" si="417">IF(AND(AU$5&gt;=$C88,AU$5&lt;=$D88),$E88,0)</f>
        <v>0</v>
      </c>
      <c r="AV88" s="3">
        <f t="shared" si="417"/>
        <v>0</v>
      </c>
      <c r="AW88" s="3">
        <f t="shared" si="417"/>
        <v>0</v>
      </c>
      <c r="AX88" s="3">
        <f t="shared" si="417"/>
        <v>0</v>
      </c>
      <c r="AY88" s="3">
        <f t="shared" si="417"/>
        <v>0</v>
      </c>
      <c r="AZ88" s="3">
        <f t="shared" si="417"/>
        <v>0</v>
      </c>
      <c r="BA88" s="3">
        <f t="shared" si="417"/>
        <v>0</v>
      </c>
      <c r="BB88" s="3">
        <f t="shared" si="417"/>
        <v>0</v>
      </c>
      <c r="BC88" s="3">
        <f t="shared" si="417"/>
        <v>0</v>
      </c>
      <c r="BD88" s="3">
        <f t="shared" si="417"/>
        <v>0</v>
      </c>
      <c r="BE88" s="3">
        <f t="shared" si="417"/>
        <v>0</v>
      </c>
      <c r="BF88" s="3">
        <f t="shared" si="417"/>
        <v>0</v>
      </c>
      <c r="BG88" s="2"/>
      <c r="BH88" s="3">
        <f t="shared" ref="BH88:BS88" si="418">IF(AND(BH$5&gt;=$C88,BH$5&lt;=$D88),$E88,0)</f>
        <v>0</v>
      </c>
      <c r="BI88" s="3">
        <f t="shared" si="418"/>
        <v>0</v>
      </c>
      <c r="BJ88" s="3">
        <f t="shared" si="418"/>
        <v>0</v>
      </c>
      <c r="BK88" s="3">
        <f t="shared" si="418"/>
        <v>0</v>
      </c>
      <c r="BL88" s="3">
        <f t="shared" si="418"/>
        <v>0</v>
      </c>
      <c r="BM88" s="3">
        <f t="shared" si="418"/>
        <v>0</v>
      </c>
      <c r="BN88" s="3">
        <f t="shared" si="418"/>
        <v>0</v>
      </c>
      <c r="BO88" s="3">
        <f t="shared" si="418"/>
        <v>0</v>
      </c>
      <c r="BP88" s="3">
        <f t="shared" si="418"/>
        <v>0</v>
      </c>
      <c r="BQ88" s="3">
        <f t="shared" si="418"/>
        <v>0</v>
      </c>
      <c r="BR88" s="3">
        <f t="shared" si="418"/>
        <v>0</v>
      </c>
      <c r="BS88" s="3">
        <f t="shared" si="418"/>
        <v>0</v>
      </c>
      <c r="BT88" s="2"/>
    </row>
    <row r="89" spans="1:72" ht="15.75" customHeight="1">
      <c r="A89" s="54" t="str">
        <f>IF('Capital purchases'!C93="","",'Capital purchases'!C93)</f>
        <v/>
      </c>
      <c r="B89" s="2"/>
      <c r="C89" s="2" t="str">
        <f>IF($A89="","",'Capital purchases'!B93)</f>
        <v/>
      </c>
      <c r="D89" s="3" t="str">
        <f>IF($A89="","",'Capital purchases'!J93)</f>
        <v/>
      </c>
      <c r="E89" s="161" t="str">
        <f>IF($A89="","",'Capital purchases'!I93)</f>
        <v/>
      </c>
      <c r="H89" s="3">
        <f t="shared" ref="H89:S89" si="419">IF(AND(H$5&gt;=$C89,H$5&lt;=$D89),$E89,0)</f>
        <v>0</v>
      </c>
      <c r="I89" s="3">
        <f t="shared" si="419"/>
        <v>0</v>
      </c>
      <c r="J89" s="3">
        <f t="shared" si="419"/>
        <v>0</v>
      </c>
      <c r="K89" s="3">
        <f t="shared" si="419"/>
        <v>0</v>
      </c>
      <c r="L89" s="3">
        <f t="shared" si="419"/>
        <v>0</v>
      </c>
      <c r="M89" s="3">
        <f t="shared" si="419"/>
        <v>0</v>
      </c>
      <c r="N89" s="3">
        <f t="shared" si="419"/>
        <v>0</v>
      </c>
      <c r="O89" s="3">
        <f t="shared" si="419"/>
        <v>0</v>
      </c>
      <c r="P89" s="3">
        <f t="shared" si="419"/>
        <v>0</v>
      </c>
      <c r="Q89" s="3">
        <f t="shared" si="419"/>
        <v>0</v>
      </c>
      <c r="R89" s="3">
        <f t="shared" si="419"/>
        <v>0</v>
      </c>
      <c r="S89" s="3">
        <f t="shared" si="419"/>
        <v>0</v>
      </c>
      <c r="U89" s="3">
        <f t="shared" ref="U89:AF89" si="420">IF(AND(U$5&gt;=$C89,U$5&lt;=$D89),$E89,0)</f>
        <v>0</v>
      </c>
      <c r="V89" s="3">
        <f t="shared" si="420"/>
        <v>0</v>
      </c>
      <c r="W89" s="3">
        <f t="shared" si="420"/>
        <v>0</v>
      </c>
      <c r="X89" s="3">
        <f t="shared" si="420"/>
        <v>0</v>
      </c>
      <c r="Y89" s="3">
        <f t="shared" si="420"/>
        <v>0</v>
      </c>
      <c r="Z89" s="3">
        <f t="shared" si="420"/>
        <v>0</v>
      </c>
      <c r="AA89" s="3">
        <f t="shared" si="420"/>
        <v>0</v>
      </c>
      <c r="AB89" s="3">
        <f t="shared" si="420"/>
        <v>0</v>
      </c>
      <c r="AC89" s="3">
        <f t="shared" si="420"/>
        <v>0</v>
      </c>
      <c r="AD89" s="3">
        <f t="shared" si="420"/>
        <v>0</v>
      </c>
      <c r="AE89" s="3">
        <f t="shared" si="420"/>
        <v>0</v>
      </c>
      <c r="AF89" s="3">
        <f t="shared" si="420"/>
        <v>0</v>
      </c>
      <c r="AH89" s="3">
        <f t="shared" ref="AH89:AS89" si="421">IF(AND(AH$5&gt;=$C89,AH$5&lt;=$D89),$E89,0)</f>
        <v>0</v>
      </c>
      <c r="AI89" s="3">
        <f t="shared" si="421"/>
        <v>0</v>
      </c>
      <c r="AJ89" s="3">
        <f t="shared" si="421"/>
        <v>0</v>
      </c>
      <c r="AK89" s="3">
        <f t="shared" si="421"/>
        <v>0</v>
      </c>
      <c r="AL89" s="3">
        <f t="shared" si="421"/>
        <v>0</v>
      </c>
      <c r="AM89" s="3">
        <f t="shared" si="421"/>
        <v>0</v>
      </c>
      <c r="AN89" s="3">
        <f t="shared" si="421"/>
        <v>0</v>
      </c>
      <c r="AO89" s="3">
        <f t="shared" si="421"/>
        <v>0</v>
      </c>
      <c r="AP89" s="3">
        <f t="shared" si="421"/>
        <v>0</v>
      </c>
      <c r="AQ89" s="3">
        <f t="shared" si="421"/>
        <v>0</v>
      </c>
      <c r="AR89" s="3">
        <f t="shared" si="421"/>
        <v>0</v>
      </c>
      <c r="AS89" s="3">
        <f t="shared" si="421"/>
        <v>0</v>
      </c>
      <c r="AU89" s="3">
        <f t="shared" ref="AU89:BF89" si="422">IF(AND(AU$5&gt;=$C89,AU$5&lt;=$D89),$E89,0)</f>
        <v>0</v>
      </c>
      <c r="AV89" s="3">
        <f t="shared" si="422"/>
        <v>0</v>
      </c>
      <c r="AW89" s="3">
        <f t="shared" si="422"/>
        <v>0</v>
      </c>
      <c r="AX89" s="3">
        <f t="shared" si="422"/>
        <v>0</v>
      </c>
      <c r="AY89" s="3">
        <f t="shared" si="422"/>
        <v>0</v>
      </c>
      <c r="AZ89" s="3">
        <f t="shared" si="422"/>
        <v>0</v>
      </c>
      <c r="BA89" s="3">
        <f t="shared" si="422"/>
        <v>0</v>
      </c>
      <c r="BB89" s="3">
        <f t="shared" si="422"/>
        <v>0</v>
      </c>
      <c r="BC89" s="3">
        <f t="shared" si="422"/>
        <v>0</v>
      </c>
      <c r="BD89" s="3">
        <f t="shared" si="422"/>
        <v>0</v>
      </c>
      <c r="BE89" s="3">
        <f t="shared" si="422"/>
        <v>0</v>
      </c>
      <c r="BF89" s="3">
        <f t="shared" si="422"/>
        <v>0</v>
      </c>
      <c r="BG89" s="2"/>
      <c r="BH89" s="3">
        <f t="shared" ref="BH89:BS89" si="423">IF(AND(BH$5&gt;=$C89,BH$5&lt;=$D89),$E89,0)</f>
        <v>0</v>
      </c>
      <c r="BI89" s="3">
        <f t="shared" si="423"/>
        <v>0</v>
      </c>
      <c r="BJ89" s="3">
        <f t="shared" si="423"/>
        <v>0</v>
      </c>
      <c r="BK89" s="3">
        <f t="shared" si="423"/>
        <v>0</v>
      </c>
      <c r="BL89" s="3">
        <f t="shared" si="423"/>
        <v>0</v>
      </c>
      <c r="BM89" s="3">
        <f t="shared" si="423"/>
        <v>0</v>
      </c>
      <c r="BN89" s="3">
        <f t="shared" si="423"/>
        <v>0</v>
      </c>
      <c r="BO89" s="3">
        <f t="shared" si="423"/>
        <v>0</v>
      </c>
      <c r="BP89" s="3">
        <f t="shared" si="423"/>
        <v>0</v>
      </c>
      <c r="BQ89" s="3">
        <f t="shared" si="423"/>
        <v>0</v>
      </c>
      <c r="BR89" s="3">
        <f t="shared" si="423"/>
        <v>0</v>
      </c>
      <c r="BS89" s="3">
        <f t="shared" si="423"/>
        <v>0</v>
      </c>
      <c r="BT89" s="2"/>
    </row>
    <row r="90" spans="1:72" ht="15.75" customHeight="1">
      <c r="A90" s="54" t="str">
        <f>IF('Capital purchases'!C94="","",'Capital purchases'!C94)</f>
        <v/>
      </c>
      <c r="B90" s="2"/>
      <c r="C90" s="2" t="str">
        <f>IF($A90="","",'Capital purchases'!B94)</f>
        <v/>
      </c>
      <c r="D90" s="3" t="str">
        <f>IF($A90="","",'Capital purchases'!J94)</f>
        <v/>
      </c>
      <c r="E90" s="161" t="str">
        <f>IF($A90="","",'Capital purchases'!I94)</f>
        <v/>
      </c>
      <c r="H90" s="3">
        <f t="shared" ref="H90:S90" si="424">IF(AND(H$5&gt;=$C90,H$5&lt;=$D90),$E90,0)</f>
        <v>0</v>
      </c>
      <c r="I90" s="3">
        <f t="shared" si="424"/>
        <v>0</v>
      </c>
      <c r="J90" s="3">
        <f t="shared" si="424"/>
        <v>0</v>
      </c>
      <c r="K90" s="3">
        <f t="shared" si="424"/>
        <v>0</v>
      </c>
      <c r="L90" s="3">
        <f t="shared" si="424"/>
        <v>0</v>
      </c>
      <c r="M90" s="3">
        <f t="shared" si="424"/>
        <v>0</v>
      </c>
      <c r="N90" s="3">
        <f t="shared" si="424"/>
        <v>0</v>
      </c>
      <c r="O90" s="3">
        <f t="shared" si="424"/>
        <v>0</v>
      </c>
      <c r="P90" s="3">
        <f t="shared" si="424"/>
        <v>0</v>
      </c>
      <c r="Q90" s="3">
        <f t="shared" si="424"/>
        <v>0</v>
      </c>
      <c r="R90" s="3">
        <f t="shared" si="424"/>
        <v>0</v>
      </c>
      <c r="S90" s="3">
        <f t="shared" si="424"/>
        <v>0</v>
      </c>
      <c r="U90" s="3">
        <f t="shared" ref="U90:AF90" si="425">IF(AND(U$5&gt;=$C90,U$5&lt;=$D90),$E90,0)</f>
        <v>0</v>
      </c>
      <c r="V90" s="3">
        <f t="shared" si="425"/>
        <v>0</v>
      </c>
      <c r="W90" s="3">
        <f t="shared" si="425"/>
        <v>0</v>
      </c>
      <c r="X90" s="3">
        <f t="shared" si="425"/>
        <v>0</v>
      </c>
      <c r="Y90" s="3">
        <f t="shared" si="425"/>
        <v>0</v>
      </c>
      <c r="Z90" s="3">
        <f t="shared" si="425"/>
        <v>0</v>
      </c>
      <c r="AA90" s="3">
        <f t="shared" si="425"/>
        <v>0</v>
      </c>
      <c r="AB90" s="3">
        <f t="shared" si="425"/>
        <v>0</v>
      </c>
      <c r="AC90" s="3">
        <f t="shared" si="425"/>
        <v>0</v>
      </c>
      <c r="AD90" s="3">
        <f t="shared" si="425"/>
        <v>0</v>
      </c>
      <c r="AE90" s="3">
        <f t="shared" si="425"/>
        <v>0</v>
      </c>
      <c r="AF90" s="3">
        <f t="shared" si="425"/>
        <v>0</v>
      </c>
      <c r="AH90" s="3">
        <f t="shared" ref="AH90:AS90" si="426">IF(AND(AH$5&gt;=$C90,AH$5&lt;=$D90),$E90,0)</f>
        <v>0</v>
      </c>
      <c r="AI90" s="3">
        <f t="shared" si="426"/>
        <v>0</v>
      </c>
      <c r="AJ90" s="3">
        <f t="shared" si="426"/>
        <v>0</v>
      </c>
      <c r="AK90" s="3">
        <f t="shared" si="426"/>
        <v>0</v>
      </c>
      <c r="AL90" s="3">
        <f t="shared" si="426"/>
        <v>0</v>
      </c>
      <c r="AM90" s="3">
        <f t="shared" si="426"/>
        <v>0</v>
      </c>
      <c r="AN90" s="3">
        <f t="shared" si="426"/>
        <v>0</v>
      </c>
      <c r="AO90" s="3">
        <f t="shared" si="426"/>
        <v>0</v>
      </c>
      <c r="AP90" s="3">
        <f t="shared" si="426"/>
        <v>0</v>
      </c>
      <c r="AQ90" s="3">
        <f t="shared" si="426"/>
        <v>0</v>
      </c>
      <c r="AR90" s="3">
        <f t="shared" si="426"/>
        <v>0</v>
      </c>
      <c r="AS90" s="3">
        <f t="shared" si="426"/>
        <v>0</v>
      </c>
      <c r="AU90" s="3">
        <f t="shared" ref="AU90:BF90" si="427">IF(AND(AU$5&gt;=$C90,AU$5&lt;=$D90),$E90,0)</f>
        <v>0</v>
      </c>
      <c r="AV90" s="3">
        <f t="shared" si="427"/>
        <v>0</v>
      </c>
      <c r="AW90" s="3">
        <f t="shared" si="427"/>
        <v>0</v>
      </c>
      <c r="AX90" s="3">
        <f t="shared" si="427"/>
        <v>0</v>
      </c>
      <c r="AY90" s="3">
        <f t="shared" si="427"/>
        <v>0</v>
      </c>
      <c r="AZ90" s="3">
        <f t="shared" si="427"/>
        <v>0</v>
      </c>
      <c r="BA90" s="3">
        <f t="shared" si="427"/>
        <v>0</v>
      </c>
      <c r="BB90" s="3">
        <f t="shared" si="427"/>
        <v>0</v>
      </c>
      <c r="BC90" s="3">
        <f t="shared" si="427"/>
        <v>0</v>
      </c>
      <c r="BD90" s="3">
        <f t="shared" si="427"/>
        <v>0</v>
      </c>
      <c r="BE90" s="3">
        <f t="shared" si="427"/>
        <v>0</v>
      </c>
      <c r="BF90" s="3">
        <f t="shared" si="427"/>
        <v>0</v>
      </c>
      <c r="BG90" s="2"/>
      <c r="BH90" s="3">
        <f t="shared" ref="BH90:BS90" si="428">IF(AND(BH$5&gt;=$C90,BH$5&lt;=$D90),$E90,0)</f>
        <v>0</v>
      </c>
      <c r="BI90" s="3">
        <f t="shared" si="428"/>
        <v>0</v>
      </c>
      <c r="BJ90" s="3">
        <f t="shared" si="428"/>
        <v>0</v>
      </c>
      <c r="BK90" s="3">
        <f t="shared" si="428"/>
        <v>0</v>
      </c>
      <c r="BL90" s="3">
        <f t="shared" si="428"/>
        <v>0</v>
      </c>
      <c r="BM90" s="3">
        <f t="shared" si="428"/>
        <v>0</v>
      </c>
      <c r="BN90" s="3">
        <f t="shared" si="428"/>
        <v>0</v>
      </c>
      <c r="BO90" s="3">
        <f t="shared" si="428"/>
        <v>0</v>
      </c>
      <c r="BP90" s="3">
        <f t="shared" si="428"/>
        <v>0</v>
      </c>
      <c r="BQ90" s="3">
        <f t="shared" si="428"/>
        <v>0</v>
      </c>
      <c r="BR90" s="3">
        <f t="shared" si="428"/>
        <v>0</v>
      </c>
      <c r="BS90" s="3">
        <f t="shared" si="428"/>
        <v>0</v>
      </c>
      <c r="BT90" s="2"/>
    </row>
    <row r="91" spans="1:72" ht="15.75" customHeight="1">
      <c r="A91" s="54" t="str">
        <f>IF('Capital purchases'!C95="","",'Capital purchases'!C95)</f>
        <v/>
      </c>
      <c r="B91" s="2"/>
      <c r="C91" s="2" t="str">
        <f>IF($A91="","",'Capital purchases'!B95)</f>
        <v/>
      </c>
      <c r="D91" s="3" t="str">
        <f>IF($A91="","",'Capital purchases'!J95)</f>
        <v/>
      </c>
      <c r="E91" s="161" t="str">
        <f>IF($A91="","",'Capital purchases'!I95)</f>
        <v/>
      </c>
      <c r="H91" s="3">
        <f t="shared" ref="H91:S91" si="429">IF(AND(H$5&gt;=$C91,H$5&lt;=$D91),$E91,0)</f>
        <v>0</v>
      </c>
      <c r="I91" s="3">
        <f t="shared" si="429"/>
        <v>0</v>
      </c>
      <c r="J91" s="3">
        <f t="shared" si="429"/>
        <v>0</v>
      </c>
      <c r="K91" s="3">
        <f t="shared" si="429"/>
        <v>0</v>
      </c>
      <c r="L91" s="3">
        <f t="shared" si="429"/>
        <v>0</v>
      </c>
      <c r="M91" s="3">
        <f t="shared" si="429"/>
        <v>0</v>
      </c>
      <c r="N91" s="3">
        <f t="shared" si="429"/>
        <v>0</v>
      </c>
      <c r="O91" s="3">
        <f t="shared" si="429"/>
        <v>0</v>
      </c>
      <c r="P91" s="3">
        <f t="shared" si="429"/>
        <v>0</v>
      </c>
      <c r="Q91" s="3">
        <f t="shared" si="429"/>
        <v>0</v>
      </c>
      <c r="R91" s="3">
        <f t="shared" si="429"/>
        <v>0</v>
      </c>
      <c r="S91" s="3">
        <f t="shared" si="429"/>
        <v>0</v>
      </c>
      <c r="U91" s="3">
        <f t="shared" ref="U91:AF91" si="430">IF(AND(U$5&gt;=$C91,U$5&lt;=$D91),$E91,0)</f>
        <v>0</v>
      </c>
      <c r="V91" s="3">
        <f t="shared" si="430"/>
        <v>0</v>
      </c>
      <c r="W91" s="3">
        <f t="shared" si="430"/>
        <v>0</v>
      </c>
      <c r="X91" s="3">
        <f t="shared" si="430"/>
        <v>0</v>
      </c>
      <c r="Y91" s="3">
        <f t="shared" si="430"/>
        <v>0</v>
      </c>
      <c r="Z91" s="3">
        <f t="shared" si="430"/>
        <v>0</v>
      </c>
      <c r="AA91" s="3">
        <f t="shared" si="430"/>
        <v>0</v>
      </c>
      <c r="AB91" s="3">
        <f t="shared" si="430"/>
        <v>0</v>
      </c>
      <c r="AC91" s="3">
        <f t="shared" si="430"/>
        <v>0</v>
      </c>
      <c r="AD91" s="3">
        <f t="shared" si="430"/>
        <v>0</v>
      </c>
      <c r="AE91" s="3">
        <f t="shared" si="430"/>
        <v>0</v>
      </c>
      <c r="AF91" s="3">
        <f t="shared" si="430"/>
        <v>0</v>
      </c>
      <c r="AH91" s="3">
        <f t="shared" ref="AH91:AS91" si="431">IF(AND(AH$5&gt;=$C91,AH$5&lt;=$D91),$E91,0)</f>
        <v>0</v>
      </c>
      <c r="AI91" s="3">
        <f t="shared" si="431"/>
        <v>0</v>
      </c>
      <c r="AJ91" s="3">
        <f t="shared" si="431"/>
        <v>0</v>
      </c>
      <c r="AK91" s="3">
        <f t="shared" si="431"/>
        <v>0</v>
      </c>
      <c r="AL91" s="3">
        <f t="shared" si="431"/>
        <v>0</v>
      </c>
      <c r="AM91" s="3">
        <f t="shared" si="431"/>
        <v>0</v>
      </c>
      <c r="AN91" s="3">
        <f t="shared" si="431"/>
        <v>0</v>
      </c>
      <c r="AO91" s="3">
        <f t="shared" si="431"/>
        <v>0</v>
      </c>
      <c r="AP91" s="3">
        <f t="shared" si="431"/>
        <v>0</v>
      </c>
      <c r="AQ91" s="3">
        <f t="shared" si="431"/>
        <v>0</v>
      </c>
      <c r="AR91" s="3">
        <f t="shared" si="431"/>
        <v>0</v>
      </c>
      <c r="AS91" s="3">
        <f t="shared" si="431"/>
        <v>0</v>
      </c>
      <c r="AU91" s="3">
        <f t="shared" ref="AU91:BF91" si="432">IF(AND(AU$5&gt;=$C91,AU$5&lt;=$D91),$E91,0)</f>
        <v>0</v>
      </c>
      <c r="AV91" s="3">
        <f t="shared" si="432"/>
        <v>0</v>
      </c>
      <c r="AW91" s="3">
        <f t="shared" si="432"/>
        <v>0</v>
      </c>
      <c r="AX91" s="3">
        <f t="shared" si="432"/>
        <v>0</v>
      </c>
      <c r="AY91" s="3">
        <f t="shared" si="432"/>
        <v>0</v>
      </c>
      <c r="AZ91" s="3">
        <f t="shared" si="432"/>
        <v>0</v>
      </c>
      <c r="BA91" s="3">
        <f t="shared" si="432"/>
        <v>0</v>
      </c>
      <c r="BB91" s="3">
        <f t="shared" si="432"/>
        <v>0</v>
      </c>
      <c r="BC91" s="3">
        <f t="shared" si="432"/>
        <v>0</v>
      </c>
      <c r="BD91" s="3">
        <f t="shared" si="432"/>
        <v>0</v>
      </c>
      <c r="BE91" s="3">
        <f t="shared" si="432"/>
        <v>0</v>
      </c>
      <c r="BF91" s="3">
        <f t="shared" si="432"/>
        <v>0</v>
      </c>
      <c r="BG91" s="2"/>
      <c r="BH91" s="3">
        <f t="shared" ref="BH91:BS91" si="433">IF(AND(BH$5&gt;=$C91,BH$5&lt;=$D91),$E91,0)</f>
        <v>0</v>
      </c>
      <c r="BI91" s="3">
        <f t="shared" si="433"/>
        <v>0</v>
      </c>
      <c r="BJ91" s="3">
        <f t="shared" si="433"/>
        <v>0</v>
      </c>
      <c r="BK91" s="3">
        <f t="shared" si="433"/>
        <v>0</v>
      </c>
      <c r="BL91" s="3">
        <f t="shared" si="433"/>
        <v>0</v>
      </c>
      <c r="BM91" s="3">
        <f t="shared" si="433"/>
        <v>0</v>
      </c>
      <c r="BN91" s="3">
        <f t="shared" si="433"/>
        <v>0</v>
      </c>
      <c r="BO91" s="3">
        <f t="shared" si="433"/>
        <v>0</v>
      </c>
      <c r="BP91" s="3">
        <f t="shared" si="433"/>
        <v>0</v>
      </c>
      <c r="BQ91" s="3">
        <f t="shared" si="433"/>
        <v>0</v>
      </c>
      <c r="BR91" s="3">
        <f t="shared" si="433"/>
        <v>0</v>
      </c>
      <c r="BS91" s="3">
        <f t="shared" si="433"/>
        <v>0</v>
      </c>
      <c r="BT91" s="2"/>
    </row>
    <row r="92" spans="1:72" ht="15.75" customHeight="1">
      <c r="A92" s="54" t="str">
        <f>IF('Capital purchases'!C96="","",'Capital purchases'!C96)</f>
        <v/>
      </c>
      <c r="B92" s="2"/>
      <c r="C92" s="2" t="str">
        <f>IF($A92="","",'Capital purchases'!B96)</f>
        <v/>
      </c>
      <c r="D92" s="3" t="str">
        <f>IF($A92="","",'Capital purchases'!J96)</f>
        <v/>
      </c>
      <c r="E92" s="161" t="str">
        <f>IF($A92="","",'Capital purchases'!I96)</f>
        <v/>
      </c>
      <c r="H92" s="3">
        <f t="shared" ref="H92:S92" si="434">IF(AND(H$5&gt;=$C92,H$5&lt;=$D92),$E92,0)</f>
        <v>0</v>
      </c>
      <c r="I92" s="3">
        <f t="shared" si="434"/>
        <v>0</v>
      </c>
      <c r="J92" s="3">
        <f t="shared" si="434"/>
        <v>0</v>
      </c>
      <c r="K92" s="3">
        <f t="shared" si="434"/>
        <v>0</v>
      </c>
      <c r="L92" s="3">
        <f t="shared" si="434"/>
        <v>0</v>
      </c>
      <c r="M92" s="3">
        <f t="shared" si="434"/>
        <v>0</v>
      </c>
      <c r="N92" s="3">
        <f t="shared" si="434"/>
        <v>0</v>
      </c>
      <c r="O92" s="3">
        <f t="shared" si="434"/>
        <v>0</v>
      </c>
      <c r="P92" s="3">
        <f t="shared" si="434"/>
        <v>0</v>
      </c>
      <c r="Q92" s="3">
        <f t="shared" si="434"/>
        <v>0</v>
      </c>
      <c r="R92" s="3">
        <f t="shared" si="434"/>
        <v>0</v>
      </c>
      <c r="S92" s="3">
        <f t="shared" si="434"/>
        <v>0</v>
      </c>
      <c r="U92" s="3">
        <f t="shared" ref="U92:AF92" si="435">IF(AND(U$5&gt;=$C92,U$5&lt;=$D92),$E92,0)</f>
        <v>0</v>
      </c>
      <c r="V92" s="3">
        <f t="shared" si="435"/>
        <v>0</v>
      </c>
      <c r="W92" s="3">
        <f t="shared" si="435"/>
        <v>0</v>
      </c>
      <c r="X92" s="3">
        <f t="shared" si="435"/>
        <v>0</v>
      </c>
      <c r="Y92" s="3">
        <f t="shared" si="435"/>
        <v>0</v>
      </c>
      <c r="Z92" s="3">
        <f t="shared" si="435"/>
        <v>0</v>
      </c>
      <c r="AA92" s="3">
        <f t="shared" si="435"/>
        <v>0</v>
      </c>
      <c r="AB92" s="3">
        <f t="shared" si="435"/>
        <v>0</v>
      </c>
      <c r="AC92" s="3">
        <f t="shared" si="435"/>
        <v>0</v>
      </c>
      <c r="AD92" s="3">
        <f t="shared" si="435"/>
        <v>0</v>
      </c>
      <c r="AE92" s="3">
        <f t="shared" si="435"/>
        <v>0</v>
      </c>
      <c r="AF92" s="3">
        <f t="shared" si="435"/>
        <v>0</v>
      </c>
      <c r="AH92" s="3">
        <f t="shared" ref="AH92:AS92" si="436">IF(AND(AH$5&gt;=$C92,AH$5&lt;=$D92),$E92,0)</f>
        <v>0</v>
      </c>
      <c r="AI92" s="3">
        <f t="shared" si="436"/>
        <v>0</v>
      </c>
      <c r="AJ92" s="3">
        <f t="shared" si="436"/>
        <v>0</v>
      </c>
      <c r="AK92" s="3">
        <f t="shared" si="436"/>
        <v>0</v>
      </c>
      <c r="AL92" s="3">
        <f t="shared" si="436"/>
        <v>0</v>
      </c>
      <c r="AM92" s="3">
        <f t="shared" si="436"/>
        <v>0</v>
      </c>
      <c r="AN92" s="3">
        <f t="shared" si="436"/>
        <v>0</v>
      </c>
      <c r="AO92" s="3">
        <f t="shared" si="436"/>
        <v>0</v>
      </c>
      <c r="AP92" s="3">
        <f t="shared" si="436"/>
        <v>0</v>
      </c>
      <c r="AQ92" s="3">
        <f t="shared" si="436"/>
        <v>0</v>
      </c>
      <c r="AR92" s="3">
        <f t="shared" si="436"/>
        <v>0</v>
      </c>
      <c r="AS92" s="3">
        <f t="shared" si="436"/>
        <v>0</v>
      </c>
      <c r="AU92" s="3">
        <f t="shared" ref="AU92:BF92" si="437">IF(AND(AU$5&gt;=$C92,AU$5&lt;=$D92),$E92,0)</f>
        <v>0</v>
      </c>
      <c r="AV92" s="3">
        <f t="shared" si="437"/>
        <v>0</v>
      </c>
      <c r="AW92" s="3">
        <f t="shared" si="437"/>
        <v>0</v>
      </c>
      <c r="AX92" s="3">
        <f t="shared" si="437"/>
        <v>0</v>
      </c>
      <c r="AY92" s="3">
        <f t="shared" si="437"/>
        <v>0</v>
      </c>
      <c r="AZ92" s="3">
        <f t="shared" si="437"/>
        <v>0</v>
      </c>
      <c r="BA92" s="3">
        <f t="shared" si="437"/>
        <v>0</v>
      </c>
      <c r="BB92" s="3">
        <f t="shared" si="437"/>
        <v>0</v>
      </c>
      <c r="BC92" s="3">
        <f t="shared" si="437"/>
        <v>0</v>
      </c>
      <c r="BD92" s="3">
        <f t="shared" si="437"/>
        <v>0</v>
      </c>
      <c r="BE92" s="3">
        <f t="shared" si="437"/>
        <v>0</v>
      </c>
      <c r="BF92" s="3">
        <f t="shared" si="437"/>
        <v>0</v>
      </c>
      <c r="BG92" s="2"/>
      <c r="BH92" s="3">
        <f t="shared" ref="BH92:BS92" si="438">IF(AND(BH$5&gt;=$C92,BH$5&lt;=$D92),$E92,0)</f>
        <v>0</v>
      </c>
      <c r="BI92" s="3">
        <f t="shared" si="438"/>
        <v>0</v>
      </c>
      <c r="BJ92" s="3">
        <f t="shared" si="438"/>
        <v>0</v>
      </c>
      <c r="BK92" s="3">
        <f t="shared" si="438"/>
        <v>0</v>
      </c>
      <c r="BL92" s="3">
        <f t="shared" si="438"/>
        <v>0</v>
      </c>
      <c r="BM92" s="3">
        <f t="shared" si="438"/>
        <v>0</v>
      </c>
      <c r="BN92" s="3">
        <f t="shared" si="438"/>
        <v>0</v>
      </c>
      <c r="BO92" s="3">
        <f t="shared" si="438"/>
        <v>0</v>
      </c>
      <c r="BP92" s="3">
        <f t="shared" si="438"/>
        <v>0</v>
      </c>
      <c r="BQ92" s="3">
        <f t="shared" si="438"/>
        <v>0</v>
      </c>
      <c r="BR92" s="3">
        <f t="shared" si="438"/>
        <v>0</v>
      </c>
      <c r="BS92" s="3">
        <f t="shared" si="438"/>
        <v>0</v>
      </c>
      <c r="BT92" s="2"/>
    </row>
    <row r="93" spans="1:72" ht="15.75" customHeight="1">
      <c r="A93" s="54" t="str">
        <f>IF('Capital purchases'!C97="","",'Capital purchases'!C97)</f>
        <v/>
      </c>
      <c r="B93" s="2"/>
      <c r="C93" s="2" t="str">
        <f>IF($A93="","",'Capital purchases'!B97)</f>
        <v/>
      </c>
      <c r="D93" s="3" t="str">
        <f>IF($A93="","",'Capital purchases'!J97)</f>
        <v/>
      </c>
      <c r="E93" s="161" t="str">
        <f>IF($A93="","",'Capital purchases'!I97)</f>
        <v/>
      </c>
      <c r="H93" s="3">
        <f t="shared" ref="H93:S93" si="439">IF(AND(H$5&gt;=$C93,H$5&lt;=$D93),$E93,0)</f>
        <v>0</v>
      </c>
      <c r="I93" s="3">
        <f t="shared" si="439"/>
        <v>0</v>
      </c>
      <c r="J93" s="3">
        <f t="shared" si="439"/>
        <v>0</v>
      </c>
      <c r="K93" s="3">
        <f t="shared" si="439"/>
        <v>0</v>
      </c>
      <c r="L93" s="3">
        <f t="shared" si="439"/>
        <v>0</v>
      </c>
      <c r="M93" s="3">
        <f t="shared" si="439"/>
        <v>0</v>
      </c>
      <c r="N93" s="3">
        <f t="shared" si="439"/>
        <v>0</v>
      </c>
      <c r="O93" s="3">
        <f t="shared" si="439"/>
        <v>0</v>
      </c>
      <c r="P93" s="3">
        <f t="shared" si="439"/>
        <v>0</v>
      </c>
      <c r="Q93" s="3">
        <f t="shared" si="439"/>
        <v>0</v>
      </c>
      <c r="R93" s="3">
        <f t="shared" si="439"/>
        <v>0</v>
      </c>
      <c r="S93" s="3">
        <f t="shared" si="439"/>
        <v>0</v>
      </c>
      <c r="U93" s="3">
        <f t="shared" ref="U93:AF93" si="440">IF(AND(U$5&gt;=$C93,U$5&lt;=$D93),$E93,0)</f>
        <v>0</v>
      </c>
      <c r="V93" s="3">
        <f t="shared" si="440"/>
        <v>0</v>
      </c>
      <c r="W93" s="3">
        <f t="shared" si="440"/>
        <v>0</v>
      </c>
      <c r="X93" s="3">
        <f t="shared" si="440"/>
        <v>0</v>
      </c>
      <c r="Y93" s="3">
        <f t="shared" si="440"/>
        <v>0</v>
      </c>
      <c r="Z93" s="3">
        <f t="shared" si="440"/>
        <v>0</v>
      </c>
      <c r="AA93" s="3">
        <f t="shared" si="440"/>
        <v>0</v>
      </c>
      <c r="AB93" s="3">
        <f t="shared" si="440"/>
        <v>0</v>
      </c>
      <c r="AC93" s="3">
        <f t="shared" si="440"/>
        <v>0</v>
      </c>
      <c r="AD93" s="3">
        <f t="shared" si="440"/>
        <v>0</v>
      </c>
      <c r="AE93" s="3">
        <f t="shared" si="440"/>
        <v>0</v>
      </c>
      <c r="AF93" s="3">
        <f t="shared" si="440"/>
        <v>0</v>
      </c>
      <c r="AH93" s="3">
        <f t="shared" ref="AH93:AS93" si="441">IF(AND(AH$5&gt;=$C93,AH$5&lt;=$D93),$E93,0)</f>
        <v>0</v>
      </c>
      <c r="AI93" s="3">
        <f t="shared" si="441"/>
        <v>0</v>
      </c>
      <c r="AJ93" s="3">
        <f t="shared" si="441"/>
        <v>0</v>
      </c>
      <c r="AK93" s="3">
        <f t="shared" si="441"/>
        <v>0</v>
      </c>
      <c r="AL93" s="3">
        <f t="shared" si="441"/>
        <v>0</v>
      </c>
      <c r="AM93" s="3">
        <f t="shared" si="441"/>
        <v>0</v>
      </c>
      <c r="AN93" s="3">
        <f t="shared" si="441"/>
        <v>0</v>
      </c>
      <c r="AO93" s="3">
        <f t="shared" si="441"/>
        <v>0</v>
      </c>
      <c r="AP93" s="3">
        <f t="shared" si="441"/>
        <v>0</v>
      </c>
      <c r="AQ93" s="3">
        <f t="shared" si="441"/>
        <v>0</v>
      </c>
      <c r="AR93" s="3">
        <f t="shared" si="441"/>
        <v>0</v>
      </c>
      <c r="AS93" s="3">
        <f t="shared" si="441"/>
        <v>0</v>
      </c>
      <c r="AU93" s="3">
        <f t="shared" ref="AU93:BF93" si="442">IF(AND(AU$5&gt;=$C93,AU$5&lt;=$D93),$E93,0)</f>
        <v>0</v>
      </c>
      <c r="AV93" s="3">
        <f t="shared" si="442"/>
        <v>0</v>
      </c>
      <c r="AW93" s="3">
        <f t="shared" si="442"/>
        <v>0</v>
      </c>
      <c r="AX93" s="3">
        <f t="shared" si="442"/>
        <v>0</v>
      </c>
      <c r="AY93" s="3">
        <f t="shared" si="442"/>
        <v>0</v>
      </c>
      <c r="AZ93" s="3">
        <f t="shared" si="442"/>
        <v>0</v>
      </c>
      <c r="BA93" s="3">
        <f t="shared" si="442"/>
        <v>0</v>
      </c>
      <c r="BB93" s="3">
        <f t="shared" si="442"/>
        <v>0</v>
      </c>
      <c r="BC93" s="3">
        <f t="shared" si="442"/>
        <v>0</v>
      </c>
      <c r="BD93" s="3">
        <f t="shared" si="442"/>
        <v>0</v>
      </c>
      <c r="BE93" s="3">
        <f t="shared" si="442"/>
        <v>0</v>
      </c>
      <c r="BF93" s="3">
        <f t="shared" si="442"/>
        <v>0</v>
      </c>
      <c r="BG93" s="2"/>
      <c r="BH93" s="3">
        <f t="shared" ref="BH93:BS93" si="443">IF(AND(BH$5&gt;=$C93,BH$5&lt;=$D93),$E93,0)</f>
        <v>0</v>
      </c>
      <c r="BI93" s="3">
        <f t="shared" si="443"/>
        <v>0</v>
      </c>
      <c r="BJ93" s="3">
        <f t="shared" si="443"/>
        <v>0</v>
      </c>
      <c r="BK93" s="3">
        <f t="shared" si="443"/>
        <v>0</v>
      </c>
      <c r="BL93" s="3">
        <f t="shared" si="443"/>
        <v>0</v>
      </c>
      <c r="BM93" s="3">
        <f t="shared" si="443"/>
        <v>0</v>
      </c>
      <c r="BN93" s="3">
        <f t="shared" si="443"/>
        <v>0</v>
      </c>
      <c r="BO93" s="3">
        <f t="shared" si="443"/>
        <v>0</v>
      </c>
      <c r="BP93" s="3">
        <f t="shared" si="443"/>
        <v>0</v>
      </c>
      <c r="BQ93" s="3">
        <f t="shared" si="443"/>
        <v>0</v>
      </c>
      <c r="BR93" s="3">
        <f t="shared" si="443"/>
        <v>0</v>
      </c>
      <c r="BS93" s="3">
        <f t="shared" si="443"/>
        <v>0</v>
      </c>
      <c r="BT93" s="2"/>
    </row>
    <row r="94" spans="1:72" ht="15.75" customHeight="1">
      <c r="A94" s="54" t="str">
        <f>IF('Capital purchases'!C98="","",'Capital purchases'!C98)</f>
        <v/>
      </c>
      <c r="B94" s="2"/>
      <c r="C94" s="2" t="str">
        <f>IF($A94="","",'Capital purchases'!B98)</f>
        <v/>
      </c>
      <c r="D94" s="3" t="str">
        <f>IF($A94="","",'Capital purchases'!J98)</f>
        <v/>
      </c>
      <c r="E94" s="161" t="str">
        <f>IF($A94="","",'Capital purchases'!I98)</f>
        <v/>
      </c>
      <c r="H94" s="3">
        <f t="shared" ref="H94:S94" si="444">IF(AND(H$5&gt;=$C94,H$5&lt;=$D94),$E94,0)</f>
        <v>0</v>
      </c>
      <c r="I94" s="3">
        <f t="shared" si="444"/>
        <v>0</v>
      </c>
      <c r="J94" s="3">
        <f t="shared" si="444"/>
        <v>0</v>
      </c>
      <c r="K94" s="3">
        <f t="shared" si="444"/>
        <v>0</v>
      </c>
      <c r="L94" s="3">
        <f t="shared" si="444"/>
        <v>0</v>
      </c>
      <c r="M94" s="3">
        <f t="shared" si="444"/>
        <v>0</v>
      </c>
      <c r="N94" s="3">
        <f t="shared" si="444"/>
        <v>0</v>
      </c>
      <c r="O94" s="3">
        <f t="shared" si="444"/>
        <v>0</v>
      </c>
      <c r="P94" s="3">
        <f t="shared" si="444"/>
        <v>0</v>
      </c>
      <c r="Q94" s="3">
        <f t="shared" si="444"/>
        <v>0</v>
      </c>
      <c r="R94" s="3">
        <f t="shared" si="444"/>
        <v>0</v>
      </c>
      <c r="S94" s="3">
        <f t="shared" si="444"/>
        <v>0</v>
      </c>
      <c r="U94" s="3">
        <f t="shared" ref="U94:AF94" si="445">IF(AND(U$5&gt;=$C94,U$5&lt;=$D94),$E94,0)</f>
        <v>0</v>
      </c>
      <c r="V94" s="3">
        <f t="shared" si="445"/>
        <v>0</v>
      </c>
      <c r="W94" s="3">
        <f t="shared" si="445"/>
        <v>0</v>
      </c>
      <c r="X94" s="3">
        <f t="shared" si="445"/>
        <v>0</v>
      </c>
      <c r="Y94" s="3">
        <f t="shared" si="445"/>
        <v>0</v>
      </c>
      <c r="Z94" s="3">
        <f t="shared" si="445"/>
        <v>0</v>
      </c>
      <c r="AA94" s="3">
        <f t="shared" si="445"/>
        <v>0</v>
      </c>
      <c r="AB94" s="3">
        <f t="shared" si="445"/>
        <v>0</v>
      </c>
      <c r="AC94" s="3">
        <f t="shared" si="445"/>
        <v>0</v>
      </c>
      <c r="AD94" s="3">
        <f t="shared" si="445"/>
        <v>0</v>
      </c>
      <c r="AE94" s="3">
        <f t="shared" si="445"/>
        <v>0</v>
      </c>
      <c r="AF94" s="3">
        <f t="shared" si="445"/>
        <v>0</v>
      </c>
      <c r="AH94" s="3">
        <f t="shared" ref="AH94:AS94" si="446">IF(AND(AH$5&gt;=$C94,AH$5&lt;=$D94),$E94,0)</f>
        <v>0</v>
      </c>
      <c r="AI94" s="3">
        <f t="shared" si="446"/>
        <v>0</v>
      </c>
      <c r="AJ94" s="3">
        <f t="shared" si="446"/>
        <v>0</v>
      </c>
      <c r="AK94" s="3">
        <f t="shared" si="446"/>
        <v>0</v>
      </c>
      <c r="AL94" s="3">
        <f t="shared" si="446"/>
        <v>0</v>
      </c>
      <c r="AM94" s="3">
        <f t="shared" si="446"/>
        <v>0</v>
      </c>
      <c r="AN94" s="3">
        <f t="shared" si="446"/>
        <v>0</v>
      </c>
      <c r="AO94" s="3">
        <f t="shared" si="446"/>
        <v>0</v>
      </c>
      <c r="AP94" s="3">
        <f t="shared" si="446"/>
        <v>0</v>
      </c>
      <c r="AQ94" s="3">
        <f t="shared" si="446"/>
        <v>0</v>
      </c>
      <c r="AR94" s="3">
        <f t="shared" si="446"/>
        <v>0</v>
      </c>
      <c r="AS94" s="3">
        <f t="shared" si="446"/>
        <v>0</v>
      </c>
      <c r="AU94" s="3">
        <f t="shared" ref="AU94:BF94" si="447">IF(AND(AU$5&gt;=$C94,AU$5&lt;=$D94),$E94,0)</f>
        <v>0</v>
      </c>
      <c r="AV94" s="3">
        <f t="shared" si="447"/>
        <v>0</v>
      </c>
      <c r="AW94" s="3">
        <f t="shared" si="447"/>
        <v>0</v>
      </c>
      <c r="AX94" s="3">
        <f t="shared" si="447"/>
        <v>0</v>
      </c>
      <c r="AY94" s="3">
        <f t="shared" si="447"/>
        <v>0</v>
      </c>
      <c r="AZ94" s="3">
        <f t="shared" si="447"/>
        <v>0</v>
      </c>
      <c r="BA94" s="3">
        <f t="shared" si="447"/>
        <v>0</v>
      </c>
      <c r="BB94" s="3">
        <f t="shared" si="447"/>
        <v>0</v>
      </c>
      <c r="BC94" s="3">
        <f t="shared" si="447"/>
        <v>0</v>
      </c>
      <c r="BD94" s="3">
        <f t="shared" si="447"/>
        <v>0</v>
      </c>
      <c r="BE94" s="3">
        <f t="shared" si="447"/>
        <v>0</v>
      </c>
      <c r="BF94" s="3">
        <f t="shared" si="447"/>
        <v>0</v>
      </c>
      <c r="BG94" s="2"/>
      <c r="BH94" s="3">
        <f t="shared" ref="BH94:BS94" si="448">IF(AND(BH$5&gt;=$C94,BH$5&lt;=$D94),$E94,0)</f>
        <v>0</v>
      </c>
      <c r="BI94" s="3">
        <f t="shared" si="448"/>
        <v>0</v>
      </c>
      <c r="BJ94" s="3">
        <f t="shared" si="448"/>
        <v>0</v>
      </c>
      <c r="BK94" s="3">
        <f t="shared" si="448"/>
        <v>0</v>
      </c>
      <c r="BL94" s="3">
        <f t="shared" si="448"/>
        <v>0</v>
      </c>
      <c r="BM94" s="3">
        <f t="shared" si="448"/>
        <v>0</v>
      </c>
      <c r="BN94" s="3">
        <f t="shared" si="448"/>
        <v>0</v>
      </c>
      <c r="BO94" s="3">
        <f t="shared" si="448"/>
        <v>0</v>
      </c>
      <c r="BP94" s="3">
        <f t="shared" si="448"/>
        <v>0</v>
      </c>
      <c r="BQ94" s="3">
        <f t="shared" si="448"/>
        <v>0</v>
      </c>
      <c r="BR94" s="3">
        <f t="shared" si="448"/>
        <v>0</v>
      </c>
      <c r="BS94" s="3">
        <f t="shared" si="448"/>
        <v>0</v>
      </c>
      <c r="BT94" s="2"/>
    </row>
    <row r="95" spans="1:72" ht="15.75" customHeight="1">
      <c r="A95" s="54" t="str">
        <f>IF('Capital purchases'!C99="","",'Capital purchases'!C99)</f>
        <v/>
      </c>
      <c r="B95" s="2"/>
      <c r="C95" s="2" t="str">
        <f>IF($A95="","",'Capital purchases'!B99)</f>
        <v/>
      </c>
      <c r="D95" s="3" t="str">
        <f>IF($A95="","",'Capital purchases'!J99)</f>
        <v/>
      </c>
      <c r="E95" s="161" t="str">
        <f>IF($A95="","",'Capital purchases'!I99)</f>
        <v/>
      </c>
      <c r="H95" s="3">
        <f t="shared" ref="H95:S95" si="449">IF(AND(H$5&gt;=$C95,H$5&lt;=$D95),$E95,0)</f>
        <v>0</v>
      </c>
      <c r="I95" s="3">
        <f t="shared" si="449"/>
        <v>0</v>
      </c>
      <c r="J95" s="3">
        <f t="shared" si="449"/>
        <v>0</v>
      </c>
      <c r="K95" s="3">
        <f t="shared" si="449"/>
        <v>0</v>
      </c>
      <c r="L95" s="3">
        <f t="shared" si="449"/>
        <v>0</v>
      </c>
      <c r="M95" s="3">
        <f t="shared" si="449"/>
        <v>0</v>
      </c>
      <c r="N95" s="3">
        <f t="shared" si="449"/>
        <v>0</v>
      </c>
      <c r="O95" s="3">
        <f t="shared" si="449"/>
        <v>0</v>
      </c>
      <c r="P95" s="3">
        <f t="shared" si="449"/>
        <v>0</v>
      </c>
      <c r="Q95" s="3">
        <f t="shared" si="449"/>
        <v>0</v>
      </c>
      <c r="R95" s="3">
        <f t="shared" si="449"/>
        <v>0</v>
      </c>
      <c r="S95" s="3">
        <f t="shared" si="449"/>
        <v>0</v>
      </c>
      <c r="U95" s="3">
        <f t="shared" ref="U95:AF95" si="450">IF(AND(U$5&gt;=$C95,U$5&lt;=$D95),$E95,0)</f>
        <v>0</v>
      </c>
      <c r="V95" s="3">
        <f t="shared" si="450"/>
        <v>0</v>
      </c>
      <c r="W95" s="3">
        <f t="shared" si="450"/>
        <v>0</v>
      </c>
      <c r="X95" s="3">
        <f t="shared" si="450"/>
        <v>0</v>
      </c>
      <c r="Y95" s="3">
        <f t="shared" si="450"/>
        <v>0</v>
      </c>
      <c r="Z95" s="3">
        <f t="shared" si="450"/>
        <v>0</v>
      </c>
      <c r="AA95" s="3">
        <f t="shared" si="450"/>
        <v>0</v>
      </c>
      <c r="AB95" s="3">
        <f t="shared" si="450"/>
        <v>0</v>
      </c>
      <c r="AC95" s="3">
        <f t="shared" si="450"/>
        <v>0</v>
      </c>
      <c r="AD95" s="3">
        <f t="shared" si="450"/>
        <v>0</v>
      </c>
      <c r="AE95" s="3">
        <f t="shared" si="450"/>
        <v>0</v>
      </c>
      <c r="AF95" s="3">
        <f t="shared" si="450"/>
        <v>0</v>
      </c>
      <c r="AH95" s="3">
        <f t="shared" ref="AH95:AS95" si="451">IF(AND(AH$5&gt;=$C95,AH$5&lt;=$D95),$E95,0)</f>
        <v>0</v>
      </c>
      <c r="AI95" s="3">
        <f t="shared" si="451"/>
        <v>0</v>
      </c>
      <c r="AJ95" s="3">
        <f t="shared" si="451"/>
        <v>0</v>
      </c>
      <c r="AK95" s="3">
        <f t="shared" si="451"/>
        <v>0</v>
      </c>
      <c r="AL95" s="3">
        <f t="shared" si="451"/>
        <v>0</v>
      </c>
      <c r="AM95" s="3">
        <f t="shared" si="451"/>
        <v>0</v>
      </c>
      <c r="AN95" s="3">
        <f t="shared" si="451"/>
        <v>0</v>
      </c>
      <c r="AO95" s="3">
        <f t="shared" si="451"/>
        <v>0</v>
      </c>
      <c r="AP95" s="3">
        <f t="shared" si="451"/>
        <v>0</v>
      </c>
      <c r="AQ95" s="3">
        <f t="shared" si="451"/>
        <v>0</v>
      </c>
      <c r="AR95" s="3">
        <f t="shared" si="451"/>
        <v>0</v>
      </c>
      <c r="AS95" s="3">
        <f t="shared" si="451"/>
        <v>0</v>
      </c>
      <c r="AU95" s="3">
        <f t="shared" ref="AU95:BF95" si="452">IF(AND(AU$5&gt;=$C95,AU$5&lt;=$D95),$E95,0)</f>
        <v>0</v>
      </c>
      <c r="AV95" s="3">
        <f t="shared" si="452"/>
        <v>0</v>
      </c>
      <c r="AW95" s="3">
        <f t="shared" si="452"/>
        <v>0</v>
      </c>
      <c r="AX95" s="3">
        <f t="shared" si="452"/>
        <v>0</v>
      </c>
      <c r="AY95" s="3">
        <f t="shared" si="452"/>
        <v>0</v>
      </c>
      <c r="AZ95" s="3">
        <f t="shared" si="452"/>
        <v>0</v>
      </c>
      <c r="BA95" s="3">
        <f t="shared" si="452"/>
        <v>0</v>
      </c>
      <c r="BB95" s="3">
        <f t="shared" si="452"/>
        <v>0</v>
      </c>
      <c r="BC95" s="3">
        <f t="shared" si="452"/>
        <v>0</v>
      </c>
      <c r="BD95" s="3">
        <f t="shared" si="452"/>
        <v>0</v>
      </c>
      <c r="BE95" s="3">
        <f t="shared" si="452"/>
        <v>0</v>
      </c>
      <c r="BF95" s="3">
        <f t="shared" si="452"/>
        <v>0</v>
      </c>
      <c r="BG95" s="2"/>
      <c r="BH95" s="3">
        <f t="shared" ref="BH95:BS95" si="453">IF(AND(BH$5&gt;=$C95,BH$5&lt;=$D95),$E95,0)</f>
        <v>0</v>
      </c>
      <c r="BI95" s="3">
        <f t="shared" si="453"/>
        <v>0</v>
      </c>
      <c r="BJ95" s="3">
        <f t="shared" si="453"/>
        <v>0</v>
      </c>
      <c r="BK95" s="3">
        <f t="shared" si="453"/>
        <v>0</v>
      </c>
      <c r="BL95" s="3">
        <f t="shared" si="453"/>
        <v>0</v>
      </c>
      <c r="BM95" s="3">
        <f t="shared" si="453"/>
        <v>0</v>
      </c>
      <c r="BN95" s="3">
        <f t="shared" si="453"/>
        <v>0</v>
      </c>
      <c r="BO95" s="3">
        <f t="shared" si="453"/>
        <v>0</v>
      </c>
      <c r="BP95" s="3">
        <f t="shared" si="453"/>
        <v>0</v>
      </c>
      <c r="BQ95" s="3">
        <f t="shared" si="453"/>
        <v>0</v>
      </c>
      <c r="BR95" s="3">
        <f t="shared" si="453"/>
        <v>0</v>
      </c>
      <c r="BS95" s="3">
        <f t="shared" si="453"/>
        <v>0</v>
      </c>
      <c r="BT95" s="2"/>
    </row>
    <row r="96" spans="1:72" ht="15.75" customHeight="1">
      <c r="A96" s="54" t="str">
        <f>IF('Capital purchases'!C100="","",'Capital purchases'!C100)</f>
        <v/>
      </c>
      <c r="B96" s="2"/>
      <c r="C96" s="2" t="str">
        <f>IF($A96="","",'Capital purchases'!B100)</f>
        <v/>
      </c>
      <c r="D96" s="3" t="str">
        <f>IF($A96="","",'Capital purchases'!J100)</f>
        <v/>
      </c>
      <c r="E96" s="161" t="str">
        <f>IF($A96="","",'Capital purchases'!I100)</f>
        <v/>
      </c>
      <c r="H96" s="3">
        <f t="shared" ref="H96:S96" si="454">IF(AND(H$5&gt;=$C96,H$5&lt;=$D96),$E96,0)</f>
        <v>0</v>
      </c>
      <c r="I96" s="3">
        <f t="shared" si="454"/>
        <v>0</v>
      </c>
      <c r="J96" s="3">
        <f t="shared" si="454"/>
        <v>0</v>
      </c>
      <c r="K96" s="3">
        <f t="shared" si="454"/>
        <v>0</v>
      </c>
      <c r="L96" s="3">
        <f t="shared" si="454"/>
        <v>0</v>
      </c>
      <c r="M96" s="3">
        <f t="shared" si="454"/>
        <v>0</v>
      </c>
      <c r="N96" s="3">
        <f t="shared" si="454"/>
        <v>0</v>
      </c>
      <c r="O96" s="3">
        <f t="shared" si="454"/>
        <v>0</v>
      </c>
      <c r="P96" s="3">
        <f t="shared" si="454"/>
        <v>0</v>
      </c>
      <c r="Q96" s="3">
        <f t="shared" si="454"/>
        <v>0</v>
      </c>
      <c r="R96" s="3">
        <f t="shared" si="454"/>
        <v>0</v>
      </c>
      <c r="S96" s="3">
        <f t="shared" si="454"/>
        <v>0</v>
      </c>
      <c r="U96" s="3">
        <f t="shared" ref="U96:AF96" si="455">IF(AND(U$5&gt;=$C96,U$5&lt;=$D96),$E96,0)</f>
        <v>0</v>
      </c>
      <c r="V96" s="3">
        <f t="shared" si="455"/>
        <v>0</v>
      </c>
      <c r="W96" s="3">
        <f t="shared" si="455"/>
        <v>0</v>
      </c>
      <c r="X96" s="3">
        <f t="shared" si="455"/>
        <v>0</v>
      </c>
      <c r="Y96" s="3">
        <f t="shared" si="455"/>
        <v>0</v>
      </c>
      <c r="Z96" s="3">
        <f t="shared" si="455"/>
        <v>0</v>
      </c>
      <c r="AA96" s="3">
        <f t="shared" si="455"/>
        <v>0</v>
      </c>
      <c r="AB96" s="3">
        <f t="shared" si="455"/>
        <v>0</v>
      </c>
      <c r="AC96" s="3">
        <f t="shared" si="455"/>
        <v>0</v>
      </c>
      <c r="AD96" s="3">
        <f t="shared" si="455"/>
        <v>0</v>
      </c>
      <c r="AE96" s="3">
        <f t="shared" si="455"/>
        <v>0</v>
      </c>
      <c r="AF96" s="3">
        <f t="shared" si="455"/>
        <v>0</v>
      </c>
      <c r="AH96" s="3">
        <f t="shared" ref="AH96:AS96" si="456">IF(AND(AH$5&gt;=$C96,AH$5&lt;=$D96),$E96,0)</f>
        <v>0</v>
      </c>
      <c r="AI96" s="3">
        <f t="shared" si="456"/>
        <v>0</v>
      </c>
      <c r="AJ96" s="3">
        <f t="shared" si="456"/>
        <v>0</v>
      </c>
      <c r="AK96" s="3">
        <f t="shared" si="456"/>
        <v>0</v>
      </c>
      <c r="AL96" s="3">
        <f t="shared" si="456"/>
        <v>0</v>
      </c>
      <c r="AM96" s="3">
        <f t="shared" si="456"/>
        <v>0</v>
      </c>
      <c r="AN96" s="3">
        <f t="shared" si="456"/>
        <v>0</v>
      </c>
      <c r="AO96" s="3">
        <f t="shared" si="456"/>
        <v>0</v>
      </c>
      <c r="AP96" s="3">
        <f t="shared" si="456"/>
        <v>0</v>
      </c>
      <c r="AQ96" s="3">
        <f t="shared" si="456"/>
        <v>0</v>
      </c>
      <c r="AR96" s="3">
        <f t="shared" si="456"/>
        <v>0</v>
      </c>
      <c r="AS96" s="3">
        <f t="shared" si="456"/>
        <v>0</v>
      </c>
      <c r="AU96" s="3">
        <f t="shared" ref="AU96:BF96" si="457">IF(AND(AU$5&gt;=$C96,AU$5&lt;=$D96),$E96,0)</f>
        <v>0</v>
      </c>
      <c r="AV96" s="3">
        <f t="shared" si="457"/>
        <v>0</v>
      </c>
      <c r="AW96" s="3">
        <f t="shared" si="457"/>
        <v>0</v>
      </c>
      <c r="AX96" s="3">
        <f t="shared" si="457"/>
        <v>0</v>
      </c>
      <c r="AY96" s="3">
        <f t="shared" si="457"/>
        <v>0</v>
      </c>
      <c r="AZ96" s="3">
        <f t="shared" si="457"/>
        <v>0</v>
      </c>
      <c r="BA96" s="3">
        <f t="shared" si="457"/>
        <v>0</v>
      </c>
      <c r="BB96" s="3">
        <f t="shared" si="457"/>
        <v>0</v>
      </c>
      <c r="BC96" s="3">
        <f t="shared" si="457"/>
        <v>0</v>
      </c>
      <c r="BD96" s="3">
        <f t="shared" si="457"/>
        <v>0</v>
      </c>
      <c r="BE96" s="3">
        <f t="shared" si="457"/>
        <v>0</v>
      </c>
      <c r="BF96" s="3">
        <f t="shared" si="457"/>
        <v>0</v>
      </c>
      <c r="BG96" s="2"/>
      <c r="BH96" s="3">
        <f t="shared" ref="BH96:BS96" si="458">IF(AND(BH$5&gt;=$C96,BH$5&lt;=$D96),$E96,0)</f>
        <v>0</v>
      </c>
      <c r="BI96" s="3">
        <f t="shared" si="458"/>
        <v>0</v>
      </c>
      <c r="BJ96" s="3">
        <f t="shared" si="458"/>
        <v>0</v>
      </c>
      <c r="BK96" s="3">
        <f t="shared" si="458"/>
        <v>0</v>
      </c>
      <c r="BL96" s="3">
        <f t="shared" si="458"/>
        <v>0</v>
      </c>
      <c r="BM96" s="3">
        <f t="shared" si="458"/>
        <v>0</v>
      </c>
      <c r="BN96" s="3">
        <f t="shared" si="458"/>
        <v>0</v>
      </c>
      <c r="BO96" s="3">
        <f t="shared" si="458"/>
        <v>0</v>
      </c>
      <c r="BP96" s="3">
        <f t="shared" si="458"/>
        <v>0</v>
      </c>
      <c r="BQ96" s="3">
        <f t="shared" si="458"/>
        <v>0</v>
      </c>
      <c r="BR96" s="3">
        <f t="shared" si="458"/>
        <v>0</v>
      </c>
      <c r="BS96" s="3">
        <f t="shared" si="458"/>
        <v>0</v>
      </c>
      <c r="BT96" s="2"/>
    </row>
    <row r="97" spans="1:73" ht="15.75" customHeight="1">
      <c r="A97" s="54" t="str">
        <f>IF('Capital purchases'!C101="","",'Capital purchases'!C101)</f>
        <v/>
      </c>
      <c r="B97" s="2"/>
      <c r="C97" s="2" t="str">
        <f>IF($A97="","",'Capital purchases'!B101)</f>
        <v/>
      </c>
      <c r="D97" s="3" t="str">
        <f>IF($A97="","",'Capital purchases'!J101)</f>
        <v/>
      </c>
      <c r="E97" s="161" t="str">
        <f>IF($A97="","",'Capital purchases'!I101)</f>
        <v/>
      </c>
      <c r="H97" s="3">
        <f t="shared" ref="H97:S97" si="459">IF(AND(H$5&gt;=$C97,H$5&lt;=$D97),$E97,0)</f>
        <v>0</v>
      </c>
      <c r="I97" s="3">
        <f t="shared" si="459"/>
        <v>0</v>
      </c>
      <c r="J97" s="3">
        <f t="shared" si="459"/>
        <v>0</v>
      </c>
      <c r="K97" s="3">
        <f t="shared" si="459"/>
        <v>0</v>
      </c>
      <c r="L97" s="3">
        <f t="shared" si="459"/>
        <v>0</v>
      </c>
      <c r="M97" s="3">
        <f t="shared" si="459"/>
        <v>0</v>
      </c>
      <c r="N97" s="3">
        <f t="shared" si="459"/>
        <v>0</v>
      </c>
      <c r="O97" s="3">
        <f t="shared" si="459"/>
        <v>0</v>
      </c>
      <c r="P97" s="3">
        <f t="shared" si="459"/>
        <v>0</v>
      </c>
      <c r="Q97" s="3">
        <f t="shared" si="459"/>
        <v>0</v>
      </c>
      <c r="R97" s="3">
        <f t="shared" si="459"/>
        <v>0</v>
      </c>
      <c r="S97" s="3">
        <f t="shared" si="459"/>
        <v>0</v>
      </c>
      <c r="U97" s="3">
        <f t="shared" ref="U97:AF97" si="460">IF(AND(U$5&gt;=$C97,U$5&lt;=$D97),$E97,0)</f>
        <v>0</v>
      </c>
      <c r="V97" s="3">
        <f t="shared" si="460"/>
        <v>0</v>
      </c>
      <c r="W97" s="3">
        <f t="shared" si="460"/>
        <v>0</v>
      </c>
      <c r="X97" s="3">
        <f t="shared" si="460"/>
        <v>0</v>
      </c>
      <c r="Y97" s="3">
        <f t="shared" si="460"/>
        <v>0</v>
      </c>
      <c r="Z97" s="3">
        <f t="shared" si="460"/>
        <v>0</v>
      </c>
      <c r="AA97" s="3">
        <f t="shared" si="460"/>
        <v>0</v>
      </c>
      <c r="AB97" s="3">
        <f t="shared" si="460"/>
        <v>0</v>
      </c>
      <c r="AC97" s="3">
        <f t="shared" si="460"/>
        <v>0</v>
      </c>
      <c r="AD97" s="3">
        <f t="shared" si="460"/>
        <v>0</v>
      </c>
      <c r="AE97" s="3">
        <f t="shared" si="460"/>
        <v>0</v>
      </c>
      <c r="AF97" s="3">
        <f t="shared" si="460"/>
        <v>0</v>
      </c>
      <c r="AH97" s="3">
        <f t="shared" ref="AH97:AS97" si="461">IF(AND(AH$5&gt;=$C97,AH$5&lt;=$D97),$E97,0)</f>
        <v>0</v>
      </c>
      <c r="AI97" s="3">
        <f t="shared" si="461"/>
        <v>0</v>
      </c>
      <c r="AJ97" s="3">
        <f t="shared" si="461"/>
        <v>0</v>
      </c>
      <c r="AK97" s="3">
        <f t="shared" si="461"/>
        <v>0</v>
      </c>
      <c r="AL97" s="3">
        <f t="shared" si="461"/>
        <v>0</v>
      </c>
      <c r="AM97" s="3">
        <f t="shared" si="461"/>
        <v>0</v>
      </c>
      <c r="AN97" s="3">
        <f t="shared" si="461"/>
        <v>0</v>
      </c>
      <c r="AO97" s="3">
        <f t="shared" si="461"/>
        <v>0</v>
      </c>
      <c r="AP97" s="3">
        <f t="shared" si="461"/>
        <v>0</v>
      </c>
      <c r="AQ97" s="3">
        <f t="shared" si="461"/>
        <v>0</v>
      </c>
      <c r="AR97" s="3">
        <f t="shared" si="461"/>
        <v>0</v>
      </c>
      <c r="AS97" s="3">
        <f t="shared" si="461"/>
        <v>0</v>
      </c>
      <c r="AU97" s="3">
        <f t="shared" ref="AU97:BF97" si="462">IF(AND(AU$5&gt;=$C97,AU$5&lt;=$D97),$E97,0)</f>
        <v>0</v>
      </c>
      <c r="AV97" s="3">
        <f t="shared" si="462"/>
        <v>0</v>
      </c>
      <c r="AW97" s="3">
        <f t="shared" si="462"/>
        <v>0</v>
      </c>
      <c r="AX97" s="3">
        <f t="shared" si="462"/>
        <v>0</v>
      </c>
      <c r="AY97" s="3">
        <f t="shared" si="462"/>
        <v>0</v>
      </c>
      <c r="AZ97" s="3">
        <f t="shared" si="462"/>
        <v>0</v>
      </c>
      <c r="BA97" s="3">
        <f t="shared" si="462"/>
        <v>0</v>
      </c>
      <c r="BB97" s="3">
        <f t="shared" si="462"/>
        <v>0</v>
      </c>
      <c r="BC97" s="3">
        <f t="shared" si="462"/>
        <v>0</v>
      </c>
      <c r="BD97" s="3">
        <f t="shared" si="462"/>
        <v>0</v>
      </c>
      <c r="BE97" s="3">
        <f t="shared" si="462"/>
        <v>0</v>
      </c>
      <c r="BF97" s="3">
        <f t="shared" si="462"/>
        <v>0</v>
      </c>
      <c r="BG97" s="2"/>
      <c r="BH97" s="3">
        <f t="shared" ref="BH97:BS97" si="463">IF(AND(BH$5&gt;=$C97,BH$5&lt;=$D97),$E97,0)</f>
        <v>0</v>
      </c>
      <c r="BI97" s="3">
        <f t="shared" si="463"/>
        <v>0</v>
      </c>
      <c r="BJ97" s="3">
        <f t="shared" si="463"/>
        <v>0</v>
      </c>
      <c r="BK97" s="3">
        <f t="shared" si="463"/>
        <v>0</v>
      </c>
      <c r="BL97" s="3">
        <f t="shared" si="463"/>
        <v>0</v>
      </c>
      <c r="BM97" s="3">
        <f t="shared" si="463"/>
        <v>0</v>
      </c>
      <c r="BN97" s="3">
        <f t="shared" si="463"/>
        <v>0</v>
      </c>
      <c r="BO97" s="3">
        <f t="shared" si="463"/>
        <v>0</v>
      </c>
      <c r="BP97" s="3">
        <f t="shared" si="463"/>
        <v>0</v>
      </c>
      <c r="BQ97" s="3">
        <f t="shared" si="463"/>
        <v>0</v>
      </c>
      <c r="BR97" s="3">
        <f t="shared" si="463"/>
        <v>0</v>
      </c>
      <c r="BS97" s="3">
        <f t="shared" si="463"/>
        <v>0</v>
      </c>
      <c r="BT97" s="2"/>
    </row>
    <row r="98" spans="1:73" ht="15.75" customHeight="1">
      <c r="A98" s="54" t="str">
        <f>IF('Capital purchases'!C102="","",'Capital purchases'!C102)</f>
        <v/>
      </c>
      <c r="B98" s="2"/>
      <c r="C98" s="2" t="str">
        <f>IF($A98="","",'Capital purchases'!B102)</f>
        <v/>
      </c>
      <c r="D98" s="3" t="str">
        <f>IF($A98="","",'Capital purchases'!J102)</f>
        <v/>
      </c>
      <c r="E98" s="161" t="str">
        <f>IF($A98="","",'Capital purchases'!I102)</f>
        <v/>
      </c>
      <c r="H98" s="3">
        <f t="shared" ref="H98:S98" si="464">IF(AND(H$5&gt;=$C98,H$5&lt;=$D98),$E98,0)</f>
        <v>0</v>
      </c>
      <c r="I98" s="3">
        <f t="shared" si="464"/>
        <v>0</v>
      </c>
      <c r="J98" s="3">
        <f t="shared" si="464"/>
        <v>0</v>
      </c>
      <c r="K98" s="3">
        <f t="shared" si="464"/>
        <v>0</v>
      </c>
      <c r="L98" s="3">
        <f t="shared" si="464"/>
        <v>0</v>
      </c>
      <c r="M98" s="3">
        <f t="shared" si="464"/>
        <v>0</v>
      </c>
      <c r="N98" s="3">
        <f t="shared" si="464"/>
        <v>0</v>
      </c>
      <c r="O98" s="3">
        <f t="shared" si="464"/>
        <v>0</v>
      </c>
      <c r="P98" s="3">
        <f t="shared" si="464"/>
        <v>0</v>
      </c>
      <c r="Q98" s="3">
        <f t="shared" si="464"/>
        <v>0</v>
      </c>
      <c r="R98" s="3">
        <f t="shared" si="464"/>
        <v>0</v>
      </c>
      <c r="S98" s="3">
        <f t="shared" si="464"/>
        <v>0</v>
      </c>
      <c r="U98" s="3">
        <f t="shared" ref="U98:AF98" si="465">IF(AND(U$5&gt;=$C98,U$5&lt;=$D98),$E98,0)</f>
        <v>0</v>
      </c>
      <c r="V98" s="3">
        <f t="shared" si="465"/>
        <v>0</v>
      </c>
      <c r="W98" s="3">
        <f t="shared" si="465"/>
        <v>0</v>
      </c>
      <c r="X98" s="3">
        <f t="shared" si="465"/>
        <v>0</v>
      </c>
      <c r="Y98" s="3">
        <f t="shared" si="465"/>
        <v>0</v>
      </c>
      <c r="Z98" s="3">
        <f t="shared" si="465"/>
        <v>0</v>
      </c>
      <c r="AA98" s="3">
        <f t="shared" si="465"/>
        <v>0</v>
      </c>
      <c r="AB98" s="3">
        <f t="shared" si="465"/>
        <v>0</v>
      </c>
      <c r="AC98" s="3">
        <f t="shared" si="465"/>
        <v>0</v>
      </c>
      <c r="AD98" s="3">
        <f t="shared" si="465"/>
        <v>0</v>
      </c>
      <c r="AE98" s="3">
        <f t="shared" si="465"/>
        <v>0</v>
      </c>
      <c r="AF98" s="3">
        <f t="shared" si="465"/>
        <v>0</v>
      </c>
      <c r="AH98" s="3">
        <f t="shared" ref="AH98:AS98" si="466">IF(AND(AH$5&gt;=$C98,AH$5&lt;=$D98),$E98,0)</f>
        <v>0</v>
      </c>
      <c r="AI98" s="3">
        <f t="shared" si="466"/>
        <v>0</v>
      </c>
      <c r="AJ98" s="3">
        <f t="shared" si="466"/>
        <v>0</v>
      </c>
      <c r="AK98" s="3">
        <f t="shared" si="466"/>
        <v>0</v>
      </c>
      <c r="AL98" s="3">
        <f t="shared" si="466"/>
        <v>0</v>
      </c>
      <c r="AM98" s="3">
        <f t="shared" si="466"/>
        <v>0</v>
      </c>
      <c r="AN98" s="3">
        <f t="shared" si="466"/>
        <v>0</v>
      </c>
      <c r="AO98" s="3">
        <f t="shared" si="466"/>
        <v>0</v>
      </c>
      <c r="AP98" s="3">
        <f t="shared" si="466"/>
        <v>0</v>
      </c>
      <c r="AQ98" s="3">
        <f t="shared" si="466"/>
        <v>0</v>
      </c>
      <c r="AR98" s="3">
        <f t="shared" si="466"/>
        <v>0</v>
      </c>
      <c r="AS98" s="3">
        <f t="shared" si="466"/>
        <v>0</v>
      </c>
      <c r="AU98" s="3">
        <f t="shared" ref="AU98:BF98" si="467">IF(AND(AU$5&gt;=$C98,AU$5&lt;=$D98),$E98,0)</f>
        <v>0</v>
      </c>
      <c r="AV98" s="3">
        <f t="shared" si="467"/>
        <v>0</v>
      </c>
      <c r="AW98" s="3">
        <f t="shared" si="467"/>
        <v>0</v>
      </c>
      <c r="AX98" s="3">
        <f t="shared" si="467"/>
        <v>0</v>
      </c>
      <c r="AY98" s="3">
        <f t="shared" si="467"/>
        <v>0</v>
      </c>
      <c r="AZ98" s="3">
        <f t="shared" si="467"/>
        <v>0</v>
      </c>
      <c r="BA98" s="3">
        <f t="shared" si="467"/>
        <v>0</v>
      </c>
      <c r="BB98" s="3">
        <f t="shared" si="467"/>
        <v>0</v>
      </c>
      <c r="BC98" s="3">
        <f t="shared" si="467"/>
        <v>0</v>
      </c>
      <c r="BD98" s="3">
        <f t="shared" si="467"/>
        <v>0</v>
      </c>
      <c r="BE98" s="3">
        <f t="shared" si="467"/>
        <v>0</v>
      </c>
      <c r="BF98" s="3">
        <f t="shared" si="467"/>
        <v>0</v>
      </c>
      <c r="BG98" s="2"/>
      <c r="BH98" s="3">
        <f t="shared" ref="BH98:BS98" si="468">IF(AND(BH$5&gt;=$C98,BH$5&lt;=$D98),$E98,0)</f>
        <v>0</v>
      </c>
      <c r="BI98" s="3">
        <f t="shared" si="468"/>
        <v>0</v>
      </c>
      <c r="BJ98" s="3">
        <f t="shared" si="468"/>
        <v>0</v>
      </c>
      <c r="BK98" s="3">
        <f t="shared" si="468"/>
        <v>0</v>
      </c>
      <c r="BL98" s="3">
        <f t="shared" si="468"/>
        <v>0</v>
      </c>
      <c r="BM98" s="3">
        <f t="shared" si="468"/>
        <v>0</v>
      </c>
      <c r="BN98" s="3">
        <f t="shared" si="468"/>
        <v>0</v>
      </c>
      <c r="BO98" s="3">
        <f t="shared" si="468"/>
        <v>0</v>
      </c>
      <c r="BP98" s="3">
        <f t="shared" si="468"/>
        <v>0</v>
      </c>
      <c r="BQ98" s="3">
        <f t="shared" si="468"/>
        <v>0</v>
      </c>
      <c r="BR98" s="3">
        <f t="shared" si="468"/>
        <v>0</v>
      </c>
      <c r="BS98" s="3">
        <f t="shared" si="468"/>
        <v>0</v>
      </c>
      <c r="BT98" s="2"/>
    </row>
    <row r="99" spans="1:73" ht="15.75" customHeight="1">
      <c r="A99" s="54" t="str">
        <f>IF('Capital purchases'!C103="","",'Capital purchases'!C103)</f>
        <v/>
      </c>
      <c r="B99" s="2"/>
      <c r="C99" s="2" t="str">
        <f>IF($A99="","",'Capital purchases'!B103)</f>
        <v/>
      </c>
      <c r="D99" s="3" t="str">
        <f>IF($A99="","",'Capital purchases'!J103)</f>
        <v/>
      </c>
      <c r="E99" s="161" t="str">
        <f>IF($A99="","",'Capital purchases'!I103)</f>
        <v/>
      </c>
      <c r="H99" s="3">
        <f t="shared" ref="H99:S99" si="469">IF(AND(H$5&gt;=$C99,H$5&lt;=$D99),$E99,0)</f>
        <v>0</v>
      </c>
      <c r="I99" s="3">
        <f t="shared" si="469"/>
        <v>0</v>
      </c>
      <c r="J99" s="3">
        <f t="shared" si="469"/>
        <v>0</v>
      </c>
      <c r="K99" s="3">
        <f t="shared" si="469"/>
        <v>0</v>
      </c>
      <c r="L99" s="3">
        <f t="shared" si="469"/>
        <v>0</v>
      </c>
      <c r="M99" s="3">
        <f t="shared" si="469"/>
        <v>0</v>
      </c>
      <c r="N99" s="3">
        <f t="shared" si="469"/>
        <v>0</v>
      </c>
      <c r="O99" s="3">
        <f t="shared" si="469"/>
        <v>0</v>
      </c>
      <c r="P99" s="3">
        <f t="shared" si="469"/>
        <v>0</v>
      </c>
      <c r="Q99" s="3">
        <f t="shared" si="469"/>
        <v>0</v>
      </c>
      <c r="R99" s="3">
        <f t="shared" si="469"/>
        <v>0</v>
      </c>
      <c r="S99" s="3">
        <f t="shared" si="469"/>
        <v>0</v>
      </c>
      <c r="U99" s="3">
        <f t="shared" ref="U99:AF99" si="470">IF(AND(U$5&gt;=$C99,U$5&lt;=$D99),$E99,0)</f>
        <v>0</v>
      </c>
      <c r="V99" s="3">
        <f t="shared" si="470"/>
        <v>0</v>
      </c>
      <c r="W99" s="3">
        <f t="shared" si="470"/>
        <v>0</v>
      </c>
      <c r="X99" s="3">
        <f t="shared" si="470"/>
        <v>0</v>
      </c>
      <c r="Y99" s="3">
        <f t="shared" si="470"/>
        <v>0</v>
      </c>
      <c r="Z99" s="3">
        <f t="shared" si="470"/>
        <v>0</v>
      </c>
      <c r="AA99" s="3">
        <f t="shared" si="470"/>
        <v>0</v>
      </c>
      <c r="AB99" s="3">
        <f t="shared" si="470"/>
        <v>0</v>
      </c>
      <c r="AC99" s="3">
        <f t="shared" si="470"/>
        <v>0</v>
      </c>
      <c r="AD99" s="3">
        <f t="shared" si="470"/>
        <v>0</v>
      </c>
      <c r="AE99" s="3">
        <f t="shared" si="470"/>
        <v>0</v>
      </c>
      <c r="AF99" s="3">
        <f t="shared" si="470"/>
        <v>0</v>
      </c>
      <c r="AH99" s="3">
        <f t="shared" ref="AH99:AS99" si="471">IF(AND(AH$5&gt;=$C99,AH$5&lt;=$D99),$E99,0)</f>
        <v>0</v>
      </c>
      <c r="AI99" s="3">
        <f t="shared" si="471"/>
        <v>0</v>
      </c>
      <c r="AJ99" s="3">
        <f t="shared" si="471"/>
        <v>0</v>
      </c>
      <c r="AK99" s="3">
        <f t="shared" si="471"/>
        <v>0</v>
      </c>
      <c r="AL99" s="3">
        <f t="shared" si="471"/>
        <v>0</v>
      </c>
      <c r="AM99" s="3">
        <f t="shared" si="471"/>
        <v>0</v>
      </c>
      <c r="AN99" s="3">
        <f t="shared" si="471"/>
        <v>0</v>
      </c>
      <c r="AO99" s="3">
        <f t="shared" si="471"/>
        <v>0</v>
      </c>
      <c r="AP99" s="3">
        <f t="shared" si="471"/>
        <v>0</v>
      </c>
      <c r="AQ99" s="3">
        <f t="shared" si="471"/>
        <v>0</v>
      </c>
      <c r="AR99" s="3">
        <f t="shared" si="471"/>
        <v>0</v>
      </c>
      <c r="AS99" s="3">
        <f t="shared" si="471"/>
        <v>0</v>
      </c>
      <c r="AU99" s="3">
        <f t="shared" ref="AU99:BF99" si="472">IF(AND(AU$5&gt;=$C99,AU$5&lt;=$D99),$E99,0)</f>
        <v>0</v>
      </c>
      <c r="AV99" s="3">
        <f t="shared" si="472"/>
        <v>0</v>
      </c>
      <c r="AW99" s="3">
        <f t="shared" si="472"/>
        <v>0</v>
      </c>
      <c r="AX99" s="3">
        <f t="shared" si="472"/>
        <v>0</v>
      </c>
      <c r="AY99" s="3">
        <f t="shared" si="472"/>
        <v>0</v>
      </c>
      <c r="AZ99" s="3">
        <f t="shared" si="472"/>
        <v>0</v>
      </c>
      <c r="BA99" s="3">
        <f t="shared" si="472"/>
        <v>0</v>
      </c>
      <c r="BB99" s="3">
        <f t="shared" si="472"/>
        <v>0</v>
      </c>
      <c r="BC99" s="3">
        <f t="shared" si="472"/>
        <v>0</v>
      </c>
      <c r="BD99" s="3">
        <f t="shared" si="472"/>
        <v>0</v>
      </c>
      <c r="BE99" s="3">
        <f t="shared" si="472"/>
        <v>0</v>
      </c>
      <c r="BF99" s="3">
        <f t="shared" si="472"/>
        <v>0</v>
      </c>
      <c r="BG99" s="2"/>
      <c r="BH99" s="3">
        <f t="shared" ref="BH99:BS99" si="473">IF(AND(BH$5&gt;=$C99,BH$5&lt;=$D99),$E99,0)</f>
        <v>0</v>
      </c>
      <c r="BI99" s="3">
        <f t="shared" si="473"/>
        <v>0</v>
      </c>
      <c r="BJ99" s="3">
        <f t="shared" si="473"/>
        <v>0</v>
      </c>
      <c r="BK99" s="3">
        <f t="shared" si="473"/>
        <v>0</v>
      </c>
      <c r="BL99" s="3">
        <f t="shared" si="473"/>
        <v>0</v>
      </c>
      <c r="BM99" s="3">
        <f t="shared" si="473"/>
        <v>0</v>
      </c>
      <c r="BN99" s="3">
        <f t="shared" si="473"/>
        <v>0</v>
      </c>
      <c r="BO99" s="3">
        <f t="shared" si="473"/>
        <v>0</v>
      </c>
      <c r="BP99" s="3">
        <f t="shared" si="473"/>
        <v>0</v>
      </c>
      <c r="BQ99" s="3">
        <f t="shared" si="473"/>
        <v>0</v>
      </c>
      <c r="BR99" s="3">
        <f t="shared" si="473"/>
        <v>0</v>
      </c>
      <c r="BS99" s="3">
        <f t="shared" si="473"/>
        <v>0</v>
      </c>
      <c r="BT99" s="2"/>
    </row>
    <row r="100" spans="1:73" ht="15.75" customHeight="1">
      <c r="A100" s="54" t="str">
        <f>IF('Capital purchases'!C104="","",'Capital purchases'!C104)</f>
        <v/>
      </c>
      <c r="B100" s="2"/>
      <c r="C100" s="2" t="str">
        <f>IF($A100="","",'Capital purchases'!B104)</f>
        <v/>
      </c>
      <c r="D100" s="3" t="str">
        <f>IF($A100="","",'Capital purchases'!J104)</f>
        <v/>
      </c>
      <c r="E100" s="161" t="str">
        <f>IF($A100="","",'Capital purchases'!I104)</f>
        <v/>
      </c>
      <c r="H100" s="3">
        <f t="shared" ref="H100:S100" si="474">IF(AND(H$5&gt;=$C100,H$5&lt;=$D100),$E100,0)</f>
        <v>0</v>
      </c>
      <c r="I100" s="3">
        <f t="shared" si="474"/>
        <v>0</v>
      </c>
      <c r="J100" s="3">
        <f t="shared" si="474"/>
        <v>0</v>
      </c>
      <c r="K100" s="3">
        <f t="shared" si="474"/>
        <v>0</v>
      </c>
      <c r="L100" s="3">
        <f t="shared" si="474"/>
        <v>0</v>
      </c>
      <c r="M100" s="3">
        <f t="shared" si="474"/>
        <v>0</v>
      </c>
      <c r="N100" s="3">
        <f t="shared" si="474"/>
        <v>0</v>
      </c>
      <c r="O100" s="3">
        <f t="shared" si="474"/>
        <v>0</v>
      </c>
      <c r="P100" s="3">
        <f t="shared" si="474"/>
        <v>0</v>
      </c>
      <c r="Q100" s="3">
        <f t="shared" si="474"/>
        <v>0</v>
      </c>
      <c r="R100" s="3">
        <f t="shared" si="474"/>
        <v>0</v>
      </c>
      <c r="S100" s="3">
        <f t="shared" si="474"/>
        <v>0</v>
      </c>
      <c r="U100" s="3">
        <f t="shared" ref="U100:AF100" si="475">IF(AND(U$5&gt;=$C100,U$5&lt;=$D100),$E100,0)</f>
        <v>0</v>
      </c>
      <c r="V100" s="3">
        <f t="shared" si="475"/>
        <v>0</v>
      </c>
      <c r="W100" s="3">
        <f t="shared" si="475"/>
        <v>0</v>
      </c>
      <c r="X100" s="3">
        <f t="shared" si="475"/>
        <v>0</v>
      </c>
      <c r="Y100" s="3">
        <f t="shared" si="475"/>
        <v>0</v>
      </c>
      <c r="Z100" s="3">
        <f t="shared" si="475"/>
        <v>0</v>
      </c>
      <c r="AA100" s="3">
        <f t="shared" si="475"/>
        <v>0</v>
      </c>
      <c r="AB100" s="3">
        <f t="shared" si="475"/>
        <v>0</v>
      </c>
      <c r="AC100" s="3">
        <f t="shared" si="475"/>
        <v>0</v>
      </c>
      <c r="AD100" s="3">
        <f t="shared" si="475"/>
        <v>0</v>
      </c>
      <c r="AE100" s="3">
        <f t="shared" si="475"/>
        <v>0</v>
      </c>
      <c r="AF100" s="3">
        <f t="shared" si="475"/>
        <v>0</v>
      </c>
      <c r="AH100" s="3">
        <f t="shared" ref="AH100:AS100" si="476">IF(AND(AH$5&gt;=$C100,AH$5&lt;=$D100),$E100,0)</f>
        <v>0</v>
      </c>
      <c r="AI100" s="3">
        <f t="shared" si="476"/>
        <v>0</v>
      </c>
      <c r="AJ100" s="3">
        <f t="shared" si="476"/>
        <v>0</v>
      </c>
      <c r="AK100" s="3">
        <f t="shared" si="476"/>
        <v>0</v>
      </c>
      <c r="AL100" s="3">
        <f t="shared" si="476"/>
        <v>0</v>
      </c>
      <c r="AM100" s="3">
        <f t="shared" si="476"/>
        <v>0</v>
      </c>
      <c r="AN100" s="3">
        <f t="shared" si="476"/>
        <v>0</v>
      </c>
      <c r="AO100" s="3">
        <f t="shared" si="476"/>
        <v>0</v>
      </c>
      <c r="AP100" s="3">
        <f t="shared" si="476"/>
        <v>0</v>
      </c>
      <c r="AQ100" s="3">
        <f t="shared" si="476"/>
        <v>0</v>
      </c>
      <c r="AR100" s="3">
        <f t="shared" si="476"/>
        <v>0</v>
      </c>
      <c r="AS100" s="3">
        <f t="shared" si="476"/>
        <v>0</v>
      </c>
      <c r="AU100" s="3">
        <f t="shared" ref="AU100:BF100" si="477">IF(AND(AU$5&gt;=$C100,AU$5&lt;=$D100),$E100,0)</f>
        <v>0</v>
      </c>
      <c r="AV100" s="3">
        <f t="shared" si="477"/>
        <v>0</v>
      </c>
      <c r="AW100" s="3">
        <f t="shared" si="477"/>
        <v>0</v>
      </c>
      <c r="AX100" s="3">
        <f t="shared" si="477"/>
        <v>0</v>
      </c>
      <c r="AY100" s="3">
        <f t="shared" si="477"/>
        <v>0</v>
      </c>
      <c r="AZ100" s="3">
        <f t="shared" si="477"/>
        <v>0</v>
      </c>
      <c r="BA100" s="3">
        <f t="shared" si="477"/>
        <v>0</v>
      </c>
      <c r="BB100" s="3">
        <f t="shared" si="477"/>
        <v>0</v>
      </c>
      <c r="BC100" s="3">
        <f t="shared" si="477"/>
        <v>0</v>
      </c>
      <c r="BD100" s="3">
        <f t="shared" si="477"/>
        <v>0</v>
      </c>
      <c r="BE100" s="3">
        <f t="shared" si="477"/>
        <v>0</v>
      </c>
      <c r="BF100" s="3">
        <f t="shared" si="477"/>
        <v>0</v>
      </c>
      <c r="BG100" s="2"/>
      <c r="BH100" s="3">
        <f t="shared" ref="BH100:BS100" si="478">IF(AND(BH$5&gt;=$C100,BH$5&lt;=$D100),$E100,0)</f>
        <v>0</v>
      </c>
      <c r="BI100" s="3">
        <f t="shared" si="478"/>
        <v>0</v>
      </c>
      <c r="BJ100" s="3">
        <f t="shared" si="478"/>
        <v>0</v>
      </c>
      <c r="BK100" s="3">
        <f t="shared" si="478"/>
        <v>0</v>
      </c>
      <c r="BL100" s="3">
        <f t="shared" si="478"/>
        <v>0</v>
      </c>
      <c r="BM100" s="3">
        <f t="shared" si="478"/>
        <v>0</v>
      </c>
      <c r="BN100" s="3">
        <f t="shared" si="478"/>
        <v>0</v>
      </c>
      <c r="BO100" s="3">
        <f t="shared" si="478"/>
        <v>0</v>
      </c>
      <c r="BP100" s="3">
        <f t="shared" si="478"/>
        <v>0</v>
      </c>
      <c r="BQ100" s="3">
        <f t="shared" si="478"/>
        <v>0</v>
      </c>
      <c r="BR100" s="3">
        <f t="shared" si="478"/>
        <v>0</v>
      </c>
      <c r="BS100" s="3">
        <f t="shared" si="478"/>
        <v>0</v>
      </c>
      <c r="BT100" s="2"/>
    </row>
    <row r="101" spans="1:73" ht="15.75" customHeight="1">
      <c r="A101" s="54" t="str">
        <f>IF('Capital purchases'!C106="","",'Capital purchases'!C106)</f>
        <v/>
      </c>
      <c r="B101" s="2"/>
      <c r="C101" s="2" t="str">
        <f>IF($A101="","",'Capital purchases'!B106)</f>
        <v/>
      </c>
      <c r="D101" s="2" t="str">
        <f>IF($A101="","",'Capital purchases'!J106)</f>
        <v/>
      </c>
      <c r="E101" s="161" t="str">
        <f>IF($A101="","",'Capital purchases'!I106)</f>
        <v/>
      </c>
      <c r="H101" s="3">
        <f t="shared" ref="H101:S101" si="479">IF(AND(H$5&gt;=$C101,H$5&lt;=$D101),$E101,0)</f>
        <v>0</v>
      </c>
      <c r="I101" s="3">
        <f t="shared" si="479"/>
        <v>0</v>
      </c>
      <c r="J101" s="3">
        <f t="shared" si="479"/>
        <v>0</v>
      </c>
      <c r="K101" s="3">
        <f t="shared" si="479"/>
        <v>0</v>
      </c>
      <c r="L101" s="3">
        <f t="shared" si="479"/>
        <v>0</v>
      </c>
      <c r="M101" s="3">
        <f t="shared" si="479"/>
        <v>0</v>
      </c>
      <c r="N101" s="3">
        <f t="shared" si="479"/>
        <v>0</v>
      </c>
      <c r="O101" s="3">
        <f t="shared" si="479"/>
        <v>0</v>
      </c>
      <c r="P101" s="3">
        <f t="shared" si="479"/>
        <v>0</v>
      </c>
      <c r="Q101" s="3">
        <f t="shared" si="479"/>
        <v>0</v>
      </c>
      <c r="R101" s="3">
        <f t="shared" si="479"/>
        <v>0</v>
      </c>
      <c r="S101" s="3">
        <f t="shared" si="479"/>
        <v>0</v>
      </c>
      <c r="U101" s="3">
        <f t="shared" ref="U101:AF101" si="480">IF(AND(U$5&gt;=$C101,U$5&lt;=$D101),$E101,0)</f>
        <v>0</v>
      </c>
      <c r="V101" s="3">
        <f t="shared" si="480"/>
        <v>0</v>
      </c>
      <c r="W101" s="3">
        <f t="shared" si="480"/>
        <v>0</v>
      </c>
      <c r="X101" s="3">
        <f t="shared" si="480"/>
        <v>0</v>
      </c>
      <c r="Y101" s="3">
        <f t="shared" si="480"/>
        <v>0</v>
      </c>
      <c r="Z101" s="3">
        <f t="shared" si="480"/>
        <v>0</v>
      </c>
      <c r="AA101" s="3">
        <f t="shared" si="480"/>
        <v>0</v>
      </c>
      <c r="AB101" s="3">
        <f t="shared" si="480"/>
        <v>0</v>
      </c>
      <c r="AC101" s="3">
        <f t="shared" si="480"/>
        <v>0</v>
      </c>
      <c r="AD101" s="3">
        <f t="shared" si="480"/>
        <v>0</v>
      </c>
      <c r="AE101" s="3">
        <f t="shared" si="480"/>
        <v>0</v>
      </c>
      <c r="AF101" s="3">
        <f t="shared" si="480"/>
        <v>0</v>
      </c>
      <c r="AH101" s="3">
        <f t="shared" ref="AH101:AS101" si="481">IF(AND(AH$5&gt;=$C101,AH$5&lt;=$D101),$E101,0)</f>
        <v>0</v>
      </c>
      <c r="AI101" s="3">
        <f t="shared" si="481"/>
        <v>0</v>
      </c>
      <c r="AJ101" s="3">
        <f t="shared" si="481"/>
        <v>0</v>
      </c>
      <c r="AK101" s="3">
        <f t="shared" si="481"/>
        <v>0</v>
      </c>
      <c r="AL101" s="3">
        <f t="shared" si="481"/>
        <v>0</v>
      </c>
      <c r="AM101" s="3">
        <f t="shared" si="481"/>
        <v>0</v>
      </c>
      <c r="AN101" s="3">
        <f t="shared" si="481"/>
        <v>0</v>
      </c>
      <c r="AO101" s="3">
        <f t="shared" si="481"/>
        <v>0</v>
      </c>
      <c r="AP101" s="3">
        <f t="shared" si="481"/>
        <v>0</v>
      </c>
      <c r="AQ101" s="3">
        <f t="shared" si="481"/>
        <v>0</v>
      </c>
      <c r="AR101" s="3">
        <f t="shared" si="481"/>
        <v>0</v>
      </c>
      <c r="AS101" s="3">
        <f t="shared" si="481"/>
        <v>0</v>
      </c>
      <c r="AU101" s="3">
        <f t="shared" ref="AU101:BF101" si="482">IF(AND(AU$5&gt;=$C101,AU$5&lt;=$D101),$E101,0)</f>
        <v>0</v>
      </c>
      <c r="AV101" s="3">
        <f t="shared" si="482"/>
        <v>0</v>
      </c>
      <c r="AW101" s="3">
        <f t="shared" si="482"/>
        <v>0</v>
      </c>
      <c r="AX101" s="3">
        <f t="shared" si="482"/>
        <v>0</v>
      </c>
      <c r="AY101" s="3">
        <f t="shared" si="482"/>
        <v>0</v>
      </c>
      <c r="AZ101" s="3">
        <f t="shared" si="482"/>
        <v>0</v>
      </c>
      <c r="BA101" s="3">
        <f t="shared" si="482"/>
        <v>0</v>
      </c>
      <c r="BB101" s="3">
        <f t="shared" si="482"/>
        <v>0</v>
      </c>
      <c r="BC101" s="3">
        <f t="shared" si="482"/>
        <v>0</v>
      </c>
      <c r="BD101" s="3">
        <f t="shared" si="482"/>
        <v>0</v>
      </c>
      <c r="BE101" s="3">
        <f t="shared" si="482"/>
        <v>0</v>
      </c>
      <c r="BF101" s="3">
        <f t="shared" si="482"/>
        <v>0</v>
      </c>
      <c r="BG101" s="2"/>
      <c r="BH101" s="3">
        <f t="shared" ref="BH101:BS101" si="483">IF(AND(BH$5&gt;=$C101,BH$5&lt;=$D101),$E101,0)</f>
        <v>0</v>
      </c>
      <c r="BI101" s="3">
        <f t="shared" si="483"/>
        <v>0</v>
      </c>
      <c r="BJ101" s="3">
        <f t="shared" si="483"/>
        <v>0</v>
      </c>
      <c r="BK101" s="3">
        <f t="shared" si="483"/>
        <v>0</v>
      </c>
      <c r="BL101" s="3">
        <f t="shared" si="483"/>
        <v>0</v>
      </c>
      <c r="BM101" s="3">
        <f t="shared" si="483"/>
        <v>0</v>
      </c>
      <c r="BN101" s="3">
        <f t="shared" si="483"/>
        <v>0</v>
      </c>
      <c r="BO101" s="3">
        <f t="shared" si="483"/>
        <v>0</v>
      </c>
      <c r="BP101" s="3">
        <f t="shared" si="483"/>
        <v>0</v>
      </c>
      <c r="BQ101" s="3">
        <f t="shared" si="483"/>
        <v>0</v>
      </c>
      <c r="BR101" s="3">
        <f t="shared" si="483"/>
        <v>0</v>
      </c>
      <c r="BS101" s="3">
        <f t="shared" si="483"/>
        <v>0</v>
      </c>
      <c r="BT101" s="2"/>
    </row>
    <row r="102" spans="1:73" ht="15.75" customHeight="1">
      <c r="A102" s="54" t="str">
        <f>IF('Capital purchases'!C107="","",'Capital purchases'!C107)</f>
        <v/>
      </c>
      <c r="B102" s="2"/>
      <c r="C102" s="2" t="str">
        <f>IF($A102="","",'Capital purchases'!B107)</f>
        <v/>
      </c>
      <c r="D102" s="2" t="str">
        <f>IF($A102="","",'Capital purchases'!J107)</f>
        <v/>
      </c>
      <c r="E102" s="161" t="str">
        <f>IF($A102="","",'Capital purchases'!I107)</f>
        <v/>
      </c>
      <c r="H102" s="3">
        <f t="shared" ref="H102:S102" si="484">IF(AND(H$5&gt;=$C102,H$5&lt;=$D102),$E102,0)</f>
        <v>0</v>
      </c>
      <c r="I102" s="3">
        <f t="shared" si="484"/>
        <v>0</v>
      </c>
      <c r="J102" s="3">
        <f t="shared" si="484"/>
        <v>0</v>
      </c>
      <c r="K102" s="3">
        <f t="shared" si="484"/>
        <v>0</v>
      </c>
      <c r="L102" s="3">
        <f t="shared" si="484"/>
        <v>0</v>
      </c>
      <c r="M102" s="3">
        <f t="shared" si="484"/>
        <v>0</v>
      </c>
      <c r="N102" s="3">
        <f t="shared" si="484"/>
        <v>0</v>
      </c>
      <c r="O102" s="3">
        <f t="shared" si="484"/>
        <v>0</v>
      </c>
      <c r="P102" s="3">
        <f t="shared" si="484"/>
        <v>0</v>
      </c>
      <c r="Q102" s="3">
        <f t="shared" si="484"/>
        <v>0</v>
      </c>
      <c r="R102" s="3">
        <f t="shared" si="484"/>
        <v>0</v>
      </c>
      <c r="S102" s="3">
        <f t="shared" si="484"/>
        <v>0</v>
      </c>
      <c r="U102" s="3">
        <f t="shared" ref="U102:AF102" si="485">IF(AND(U$5&gt;=$C102,U$5&lt;=$D102),$E102,0)</f>
        <v>0</v>
      </c>
      <c r="V102" s="3">
        <f t="shared" si="485"/>
        <v>0</v>
      </c>
      <c r="W102" s="3">
        <f t="shared" si="485"/>
        <v>0</v>
      </c>
      <c r="X102" s="3">
        <f t="shared" si="485"/>
        <v>0</v>
      </c>
      <c r="Y102" s="3">
        <f t="shared" si="485"/>
        <v>0</v>
      </c>
      <c r="Z102" s="3">
        <f t="shared" si="485"/>
        <v>0</v>
      </c>
      <c r="AA102" s="3">
        <f t="shared" si="485"/>
        <v>0</v>
      </c>
      <c r="AB102" s="3">
        <f t="shared" si="485"/>
        <v>0</v>
      </c>
      <c r="AC102" s="3">
        <f t="shared" si="485"/>
        <v>0</v>
      </c>
      <c r="AD102" s="3">
        <f t="shared" si="485"/>
        <v>0</v>
      </c>
      <c r="AE102" s="3">
        <f t="shared" si="485"/>
        <v>0</v>
      </c>
      <c r="AF102" s="3">
        <f t="shared" si="485"/>
        <v>0</v>
      </c>
      <c r="AH102" s="3">
        <f t="shared" ref="AH102:AS102" si="486">IF(AND(AH$5&gt;=$C102,AH$5&lt;=$D102),$E102,0)</f>
        <v>0</v>
      </c>
      <c r="AI102" s="3">
        <f t="shared" si="486"/>
        <v>0</v>
      </c>
      <c r="AJ102" s="3">
        <f t="shared" si="486"/>
        <v>0</v>
      </c>
      <c r="AK102" s="3">
        <f t="shared" si="486"/>
        <v>0</v>
      </c>
      <c r="AL102" s="3">
        <f t="shared" si="486"/>
        <v>0</v>
      </c>
      <c r="AM102" s="3">
        <f t="shared" si="486"/>
        <v>0</v>
      </c>
      <c r="AN102" s="3">
        <f t="shared" si="486"/>
        <v>0</v>
      </c>
      <c r="AO102" s="3">
        <f t="shared" si="486"/>
        <v>0</v>
      </c>
      <c r="AP102" s="3">
        <f t="shared" si="486"/>
        <v>0</v>
      </c>
      <c r="AQ102" s="3">
        <f t="shared" si="486"/>
        <v>0</v>
      </c>
      <c r="AR102" s="3">
        <f t="shared" si="486"/>
        <v>0</v>
      </c>
      <c r="AS102" s="3">
        <f t="shared" si="486"/>
        <v>0</v>
      </c>
      <c r="AU102" s="3">
        <f t="shared" ref="AU102:BF102" si="487">IF(AND(AU$5&gt;=$C102,AU$5&lt;=$D102),$E102,0)</f>
        <v>0</v>
      </c>
      <c r="AV102" s="3">
        <f t="shared" si="487"/>
        <v>0</v>
      </c>
      <c r="AW102" s="3">
        <f t="shared" si="487"/>
        <v>0</v>
      </c>
      <c r="AX102" s="3">
        <f t="shared" si="487"/>
        <v>0</v>
      </c>
      <c r="AY102" s="3">
        <f t="shared" si="487"/>
        <v>0</v>
      </c>
      <c r="AZ102" s="3">
        <f t="shared" si="487"/>
        <v>0</v>
      </c>
      <c r="BA102" s="3">
        <f t="shared" si="487"/>
        <v>0</v>
      </c>
      <c r="BB102" s="3">
        <f t="shared" si="487"/>
        <v>0</v>
      </c>
      <c r="BC102" s="3">
        <f t="shared" si="487"/>
        <v>0</v>
      </c>
      <c r="BD102" s="3">
        <f t="shared" si="487"/>
        <v>0</v>
      </c>
      <c r="BE102" s="3">
        <f t="shared" si="487"/>
        <v>0</v>
      </c>
      <c r="BF102" s="3">
        <f t="shared" si="487"/>
        <v>0</v>
      </c>
      <c r="BG102" s="2"/>
      <c r="BH102" s="3">
        <f t="shared" ref="BH102:BS102" si="488">IF(AND(BH$5&gt;=$C102,BH$5&lt;=$D102),$E102,0)</f>
        <v>0</v>
      </c>
      <c r="BI102" s="3">
        <f t="shared" si="488"/>
        <v>0</v>
      </c>
      <c r="BJ102" s="3">
        <f t="shared" si="488"/>
        <v>0</v>
      </c>
      <c r="BK102" s="3">
        <f t="shared" si="488"/>
        <v>0</v>
      </c>
      <c r="BL102" s="3">
        <f t="shared" si="488"/>
        <v>0</v>
      </c>
      <c r="BM102" s="3">
        <f t="shared" si="488"/>
        <v>0</v>
      </c>
      <c r="BN102" s="3">
        <f t="shared" si="488"/>
        <v>0</v>
      </c>
      <c r="BO102" s="3">
        <f t="shared" si="488"/>
        <v>0</v>
      </c>
      <c r="BP102" s="3">
        <f t="shared" si="488"/>
        <v>0</v>
      </c>
      <c r="BQ102" s="3">
        <f t="shared" si="488"/>
        <v>0</v>
      </c>
      <c r="BR102" s="3">
        <f t="shared" si="488"/>
        <v>0</v>
      </c>
      <c r="BS102" s="3">
        <f t="shared" si="488"/>
        <v>0</v>
      </c>
      <c r="BT102" s="2"/>
    </row>
    <row r="103" spans="1:73" ht="15.75" customHeight="1">
      <c r="A103" s="54" t="str">
        <f>IF('Capital purchases'!C108="","",'Capital purchases'!C108)</f>
        <v/>
      </c>
      <c r="B103" s="2"/>
      <c r="C103" s="2" t="str">
        <f>IF($A103="","",'Capital purchases'!B108)</f>
        <v/>
      </c>
      <c r="D103" s="2" t="str">
        <f>IF($A103="","",'Capital purchases'!J108)</f>
        <v/>
      </c>
      <c r="E103" s="161" t="str">
        <f>IF($A103="","",'Capital purchases'!I108)</f>
        <v/>
      </c>
      <c r="H103" s="3">
        <f t="shared" ref="H103:S103" si="489">IF(AND(H$5&gt;=$C103,H$5&lt;=$D103),$E103,0)</f>
        <v>0</v>
      </c>
      <c r="I103" s="3">
        <f t="shared" si="489"/>
        <v>0</v>
      </c>
      <c r="J103" s="3">
        <f t="shared" si="489"/>
        <v>0</v>
      </c>
      <c r="K103" s="3">
        <f t="shared" si="489"/>
        <v>0</v>
      </c>
      <c r="L103" s="3">
        <f t="shared" si="489"/>
        <v>0</v>
      </c>
      <c r="M103" s="3">
        <f t="shared" si="489"/>
        <v>0</v>
      </c>
      <c r="N103" s="3">
        <f t="shared" si="489"/>
        <v>0</v>
      </c>
      <c r="O103" s="3">
        <f t="shared" si="489"/>
        <v>0</v>
      </c>
      <c r="P103" s="3">
        <f t="shared" si="489"/>
        <v>0</v>
      </c>
      <c r="Q103" s="3">
        <f t="shared" si="489"/>
        <v>0</v>
      </c>
      <c r="R103" s="3">
        <f t="shared" si="489"/>
        <v>0</v>
      </c>
      <c r="S103" s="3">
        <f t="shared" si="489"/>
        <v>0</v>
      </c>
      <c r="U103" s="3">
        <f t="shared" ref="U103:AF103" si="490">IF(AND(U$5&gt;=$C103,U$5&lt;=$D103),$E103,0)</f>
        <v>0</v>
      </c>
      <c r="V103" s="3">
        <f t="shared" si="490"/>
        <v>0</v>
      </c>
      <c r="W103" s="3">
        <f t="shared" si="490"/>
        <v>0</v>
      </c>
      <c r="X103" s="3">
        <f t="shared" si="490"/>
        <v>0</v>
      </c>
      <c r="Y103" s="3">
        <f t="shared" si="490"/>
        <v>0</v>
      </c>
      <c r="Z103" s="3">
        <f t="shared" si="490"/>
        <v>0</v>
      </c>
      <c r="AA103" s="3">
        <f t="shared" si="490"/>
        <v>0</v>
      </c>
      <c r="AB103" s="3">
        <f t="shared" si="490"/>
        <v>0</v>
      </c>
      <c r="AC103" s="3">
        <f t="shared" si="490"/>
        <v>0</v>
      </c>
      <c r="AD103" s="3">
        <f t="shared" si="490"/>
        <v>0</v>
      </c>
      <c r="AE103" s="3">
        <f t="shared" si="490"/>
        <v>0</v>
      </c>
      <c r="AF103" s="3">
        <f t="shared" si="490"/>
        <v>0</v>
      </c>
      <c r="AH103" s="3">
        <f t="shared" ref="AH103:AS103" si="491">IF(AND(AH$5&gt;=$C103,AH$5&lt;=$D103),$E103,0)</f>
        <v>0</v>
      </c>
      <c r="AI103" s="3">
        <f t="shared" si="491"/>
        <v>0</v>
      </c>
      <c r="AJ103" s="3">
        <f t="shared" si="491"/>
        <v>0</v>
      </c>
      <c r="AK103" s="3">
        <f t="shared" si="491"/>
        <v>0</v>
      </c>
      <c r="AL103" s="3">
        <f t="shared" si="491"/>
        <v>0</v>
      </c>
      <c r="AM103" s="3">
        <f t="shared" si="491"/>
        <v>0</v>
      </c>
      <c r="AN103" s="3">
        <f t="shared" si="491"/>
        <v>0</v>
      </c>
      <c r="AO103" s="3">
        <f t="shared" si="491"/>
        <v>0</v>
      </c>
      <c r="AP103" s="3">
        <f t="shared" si="491"/>
        <v>0</v>
      </c>
      <c r="AQ103" s="3">
        <f t="shared" si="491"/>
        <v>0</v>
      </c>
      <c r="AR103" s="3">
        <f t="shared" si="491"/>
        <v>0</v>
      </c>
      <c r="AS103" s="3">
        <f t="shared" si="491"/>
        <v>0</v>
      </c>
      <c r="AU103" s="3">
        <f t="shared" ref="AU103:BF103" si="492">IF(AND(AU$5&gt;=$C103,AU$5&lt;=$D103),$E103,0)</f>
        <v>0</v>
      </c>
      <c r="AV103" s="3">
        <f t="shared" si="492"/>
        <v>0</v>
      </c>
      <c r="AW103" s="3">
        <f t="shared" si="492"/>
        <v>0</v>
      </c>
      <c r="AX103" s="3">
        <f t="shared" si="492"/>
        <v>0</v>
      </c>
      <c r="AY103" s="3">
        <f t="shared" si="492"/>
        <v>0</v>
      </c>
      <c r="AZ103" s="3">
        <f t="shared" si="492"/>
        <v>0</v>
      </c>
      <c r="BA103" s="3">
        <f t="shared" si="492"/>
        <v>0</v>
      </c>
      <c r="BB103" s="3">
        <f t="shared" si="492"/>
        <v>0</v>
      </c>
      <c r="BC103" s="3">
        <f t="shared" si="492"/>
        <v>0</v>
      </c>
      <c r="BD103" s="3">
        <f t="shared" si="492"/>
        <v>0</v>
      </c>
      <c r="BE103" s="3">
        <f t="shared" si="492"/>
        <v>0</v>
      </c>
      <c r="BF103" s="3">
        <f t="shared" si="492"/>
        <v>0</v>
      </c>
      <c r="BG103" s="2"/>
      <c r="BH103" s="3">
        <f t="shared" ref="BH103:BS103" si="493">IF(AND(BH$5&gt;=$C103,BH$5&lt;=$D103),$E103,0)</f>
        <v>0</v>
      </c>
      <c r="BI103" s="3">
        <f t="shared" si="493"/>
        <v>0</v>
      </c>
      <c r="BJ103" s="3">
        <f t="shared" si="493"/>
        <v>0</v>
      </c>
      <c r="BK103" s="3">
        <f t="shared" si="493"/>
        <v>0</v>
      </c>
      <c r="BL103" s="3">
        <f t="shared" si="493"/>
        <v>0</v>
      </c>
      <c r="BM103" s="3">
        <f t="shared" si="493"/>
        <v>0</v>
      </c>
      <c r="BN103" s="3">
        <f t="shared" si="493"/>
        <v>0</v>
      </c>
      <c r="BO103" s="3">
        <f t="shared" si="493"/>
        <v>0</v>
      </c>
      <c r="BP103" s="3">
        <f t="shared" si="493"/>
        <v>0</v>
      </c>
      <c r="BQ103" s="3">
        <f t="shared" si="493"/>
        <v>0</v>
      </c>
      <c r="BR103" s="3">
        <f t="shared" si="493"/>
        <v>0</v>
      </c>
      <c r="BS103" s="3">
        <f t="shared" si="493"/>
        <v>0</v>
      </c>
      <c r="BT103" s="2"/>
    </row>
    <row r="104" spans="1:73" ht="15.75" customHeight="1">
      <c r="A104" s="31" t="str">
        <f>IF('Capital purchases'!C109="","",'Capital purchases'!C109)</f>
        <v/>
      </c>
      <c r="B104" s="32"/>
      <c r="C104" s="32" t="str">
        <f>IF($A104="","",'Capital purchases'!B109)</f>
        <v/>
      </c>
      <c r="D104" s="32" t="str">
        <f>IF($A104="","",'Capital purchases'!J109)</f>
        <v/>
      </c>
      <c r="E104" s="162" t="str">
        <f>IF($A104="","",'Capital purchases'!I109)</f>
        <v/>
      </c>
      <c r="F104" s="2"/>
      <c r="H104" s="3">
        <f t="shared" ref="H104:S104" si="494">IF(AND(H$5&gt;=$C104,H$5&lt;=$D104),$E104,0)</f>
        <v>0</v>
      </c>
      <c r="I104" s="3">
        <f t="shared" si="494"/>
        <v>0</v>
      </c>
      <c r="J104" s="3">
        <f t="shared" si="494"/>
        <v>0</v>
      </c>
      <c r="K104" s="3">
        <f t="shared" si="494"/>
        <v>0</v>
      </c>
      <c r="L104" s="3">
        <f t="shared" si="494"/>
        <v>0</v>
      </c>
      <c r="M104" s="3">
        <f t="shared" si="494"/>
        <v>0</v>
      </c>
      <c r="N104" s="3">
        <f t="shared" si="494"/>
        <v>0</v>
      </c>
      <c r="O104" s="3">
        <f t="shared" si="494"/>
        <v>0</v>
      </c>
      <c r="P104" s="3">
        <f t="shared" si="494"/>
        <v>0</v>
      </c>
      <c r="Q104" s="3">
        <f t="shared" si="494"/>
        <v>0</v>
      </c>
      <c r="R104" s="3">
        <f t="shared" si="494"/>
        <v>0</v>
      </c>
      <c r="S104" s="3">
        <f t="shared" si="494"/>
        <v>0</v>
      </c>
      <c r="U104" s="3">
        <f t="shared" ref="U104:AF104" si="495">IF(AND(U$5&gt;=$C104,U$5&lt;=$D104),$E104,0)</f>
        <v>0</v>
      </c>
      <c r="V104" s="3">
        <f t="shared" si="495"/>
        <v>0</v>
      </c>
      <c r="W104" s="3">
        <f t="shared" si="495"/>
        <v>0</v>
      </c>
      <c r="X104" s="3">
        <f t="shared" si="495"/>
        <v>0</v>
      </c>
      <c r="Y104" s="3">
        <f t="shared" si="495"/>
        <v>0</v>
      </c>
      <c r="Z104" s="3">
        <f t="shared" si="495"/>
        <v>0</v>
      </c>
      <c r="AA104" s="3">
        <f t="shared" si="495"/>
        <v>0</v>
      </c>
      <c r="AB104" s="3">
        <f t="shared" si="495"/>
        <v>0</v>
      </c>
      <c r="AC104" s="3">
        <f t="shared" si="495"/>
        <v>0</v>
      </c>
      <c r="AD104" s="3">
        <f t="shared" si="495"/>
        <v>0</v>
      </c>
      <c r="AE104" s="3">
        <f t="shared" si="495"/>
        <v>0</v>
      </c>
      <c r="AF104" s="3">
        <f t="shared" si="495"/>
        <v>0</v>
      </c>
      <c r="AH104" s="3">
        <f t="shared" ref="AH104:AS104" si="496">IF(AND(AH$5&gt;=$C104,AH$5&lt;=$D104),$E104,0)</f>
        <v>0</v>
      </c>
      <c r="AI104" s="3">
        <f t="shared" si="496"/>
        <v>0</v>
      </c>
      <c r="AJ104" s="3">
        <f t="shared" si="496"/>
        <v>0</v>
      </c>
      <c r="AK104" s="3">
        <f t="shared" si="496"/>
        <v>0</v>
      </c>
      <c r="AL104" s="3">
        <f t="shared" si="496"/>
        <v>0</v>
      </c>
      <c r="AM104" s="3">
        <f t="shared" si="496"/>
        <v>0</v>
      </c>
      <c r="AN104" s="3">
        <f t="shared" si="496"/>
        <v>0</v>
      </c>
      <c r="AO104" s="3">
        <f t="shared" si="496"/>
        <v>0</v>
      </c>
      <c r="AP104" s="3">
        <f t="shared" si="496"/>
        <v>0</v>
      </c>
      <c r="AQ104" s="3">
        <f t="shared" si="496"/>
        <v>0</v>
      </c>
      <c r="AR104" s="3">
        <f t="shared" si="496"/>
        <v>0</v>
      </c>
      <c r="AS104" s="3">
        <f t="shared" si="496"/>
        <v>0</v>
      </c>
      <c r="AU104" s="3">
        <f t="shared" ref="AU104:BF104" si="497">IF(AND(AU$5&gt;=$C104,AU$5&lt;=$D104),$E104,0)</f>
        <v>0</v>
      </c>
      <c r="AV104" s="3">
        <f t="shared" si="497"/>
        <v>0</v>
      </c>
      <c r="AW104" s="3">
        <f t="shared" si="497"/>
        <v>0</v>
      </c>
      <c r="AX104" s="3">
        <f t="shared" si="497"/>
        <v>0</v>
      </c>
      <c r="AY104" s="3">
        <f t="shared" si="497"/>
        <v>0</v>
      </c>
      <c r="AZ104" s="3">
        <f t="shared" si="497"/>
        <v>0</v>
      </c>
      <c r="BA104" s="3">
        <f t="shared" si="497"/>
        <v>0</v>
      </c>
      <c r="BB104" s="3">
        <f t="shared" si="497"/>
        <v>0</v>
      </c>
      <c r="BC104" s="3">
        <f t="shared" si="497"/>
        <v>0</v>
      </c>
      <c r="BD104" s="3">
        <f t="shared" si="497"/>
        <v>0</v>
      </c>
      <c r="BE104" s="3">
        <f t="shared" si="497"/>
        <v>0</v>
      </c>
      <c r="BF104" s="3">
        <f t="shared" si="497"/>
        <v>0</v>
      </c>
      <c r="BG104" s="2"/>
      <c r="BH104" s="3">
        <f t="shared" ref="BH104:BS104" si="498">IF(AND(BH$5&gt;=$C104,BH$5&lt;=$D104),$E104,0)</f>
        <v>0</v>
      </c>
      <c r="BI104" s="3">
        <f t="shared" si="498"/>
        <v>0</v>
      </c>
      <c r="BJ104" s="3">
        <f t="shared" si="498"/>
        <v>0</v>
      </c>
      <c r="BK104" s="3">
        <f t="shared" si="498"/>
        <v>0</v>
      </c>
      <c r="BL104" s="3">
        <f t="shared" si="498"/>
        <v>0</v>
      </c>
      <c r="BM104" s="3">
        <f t="shared" si="498"/>
        <v>0</v>
      </c>
      <c r="BN104" s="3">
        <f t="shared" si="498"/>
        <v>0</v>
      </c>
      <c r="BO104" s="3">
        <f t="shared" si="498"/>
        <v>0</v>
      </c>
      <c r="BP104" s="3">
        <f t="shared" si="498"/>
        <v>0</v>
      </c>
      <c r="BQ104" s="3">
        <f t="shared" si="498"/>
        <v>0</v>
      </c>
      <c r="BR104" s="3">
        <f t="shared" si="498"/>
        <v>0</v>
      </c>
      <c r="BS104" s="3">
        <f t="shared" si="498"/>
        <v>0</v>
      </c>
      <c r="BT104" s="2"/>
    </row>
    <row r="105" spans="1:73" ht="15.75" customHeight="1">
      <c r="A105" s="37" t="s">
        <v>295</v>
      </c>
      <c r="B105" s="37"/>
      <c r="C105" s="37"/>
      <c r="D105" s="37"/>
      <c r="E105" s="37"/>
      <c r="F105" s="37"/>
      <c r="G105" s="37"/>
      <c r="H105" s="41">
        <f t="shared" ref="H105:S105" si="499">SUM(H6:H104)</f>
        <v>1205</v>
      </c>
      <c r="I105" s="41">
        <f t="shared" si="499"/>
        <v>1205</v>
      </c>
      <c r="J105" s="41">
        <f t="shared" si="499"/>
        <v>1205</v>
      </c>
      <c r="K105" s="41">
        <f t="shared" si="499"/>
        <v>1205</v>
      </c>
      <c r="L105" s="41">
        <f t="shared" si="499"/>
        <v>1205</v>
      </c>
      <c r="M105" s="41">
        <f t="shared" si="499"/>
        <v>1205</v>
      </c>
      <c r="N105" s="41">
        <f t="shared" si="499"/>
        <v>1205</v>
      </c>
      <c r="O105" s="41">
        <f t="shared" si="499"/>
        <v>1205</v>
      </c>
      <c r="P105" s="41">
        <f t="shared" si="499"/>
        <v>1205</v>
      </c>
      <c r="Q105" s="41">
        <f t="shared" si="499"/>
        <v>1205</v>
      </c>
      <c r="R105" s="41">
        <f t="shared" si="499"/>
        <v>1205</v>
      </c>
      <c r="S105" s="41">
        <f t="shared" si="499"/>
        <v>1205</v>
      </c>
      <c r="T105" s="37"/>
      <c r="U105" s="41">
        <f t="shared" ref="U105:AF105" si="500">SUM(U6:U104)</f>
        <v>1205</v>
      </c>
      <c r="V105" s="41">
        <f t="shared" si="500"/>
        <v>1205</v>
      </c>
      <c r="W105" s="41">
        <f t="shared" si="500"/>
        <v>1205</v>
      </c>
      <c r="X105" s="41">
        <f t="shared" si="500"/>
        <v>1205</v>
      </c>
      <c r="Y105" s="41">
        <f t="shared" si="500"/>
        <v>1205</v>
      </c>
      <c r="Z105" s="41">
        <f t="shared" si="500"/>
        <v>1205</v>
      </c>
      <c r="AA105" s="41">
        <f t="shared" si="500"/>
        <v>1205</v>
      </c>
      <c r="AB105" s="41">
        <f t="shared" si="500"/>
        <v>1205</v>
      </c>
      <c r="AC105" s="41">
        <f t="shared" si="500"/>
        <v>1205</v>
      </c>
      <c r="AD105" s="41">
        <f t="shared" si="500"/>
        <v>1205</v>
      </c>
      <c r="AE105" s="41">
        <f t="shared" si="500"/>
        <v>1205</v>
      </c>
      <c r="AF105" s="41">
        <f t="shared" si="500"/>
        <v>1205</v>
      </c>
      <c r="AG105" s="37"/>
      <c r="AH105" s="41">
        <f t="shared" ref="AH105:AS105" si="501">SUM(AH6:AH104)</f>
        <v>1205</v>
      </c>
      <c r="AI105" s="41">
        <f t="shared" si="501"/>
        <v>1205</v>
      </c>
      <c r="AJ105" s="41">
        <f t="shared" si="501"/>
        <v>1205</v>
      </c>
      <c r="AK105" s="41">
        <f t="shared" si="501"/>
        <v>1205</v>
      </c>
      <c r="AL105" s="41">
        <f t="shared" si="501"/>
        <v>1205</v>
      </c>
      <c r="AM105" s="41">
        <f t="shared" si="501"/>
        <v>1205</v>
      </c>
      <c r="AN105" s="41">
        <f t="shared" si="501"/>
        <v>1205</v>
      </c>
      <c r="AO105" s="41">
        <f t="shared" si="501"/>
        <v>1205</v>
      </c>
      <c r="AP105" s="41">
        <f t="shared" si="501"/>
        <v>1205</v>
      </c>
      <c r="AQ105" s="41">
        <f t="shared" si="501"/>
        <v>1205</v>
      </c>
      <c r="AR105" s="41">
        <f t="shared" si="501"/>
        <v>1205</v>
      </c>
      <c r="AS105" s="41">
        <f t="shared" si="501"/>
        <v>1205</v>
      </c>
      <c r="AT105" s="37"/>
      <c r="AU105" s="41">
        <f t="shared" ref="AU105:BF105" si="502">SUM(AU6:AU104)</f>
        <v>1205</v>
      </c>
      <c r="AV105" s="41">
        <f t="shared" si="502"/>
        <v>1205</v>
      </c>
      <c r="AW105" s="41">
        <f t="shared" si="502"/>
        <v>1205</v>
      </c>
      <c r="AX105" s="41">
        <f t="shared" si="502"/>
        <v>1205</v>
      </c>
      <c r="AY105" s="41">
        <f t="shared" si="502"/>
        <v>1205</v>
      </c>
      <c r="AZ105" s="41">
        <f t="shared" si="502"/>
        <v>1205</v>
      </c>
      <c r="BA105" s="41">
        <f t="shared" si="502"/>
        <v>1205</v>
      </c>
      <c r="BB105" s="41">
        <f t="shared" si="502"/>
        <v>1205</v>
      </c>
      <c r="BC105" s="41">
        <f t="shared" si="502"/>
        <v>1205</v>
      </c>
      <c r="BD105" s="41">
        <f t="shared" si="502"/>
        <v>1205</v>
      </c>
      <c r="BE105" s="41">
        <f t="shared" si="502"/>
        <v>1205</v>
      </c>
      <c r="BF105" s="41">
        <f t="shared" si="502"/>
        <v>1205</v>
      </c>
      <c r="BG105" s="37"/>
      <c r="BH105" s="41">
        <f t="shared" ref="BH105:BS105" si="503">SUM(BH6:BH104)</f>
        <v>1205</v>
      </c>
      <c r="BI105" s="41">
        <f t="shared" si="503"/>
        <v>1205</v>
      </c>
      <c r="BJ105" s="41">
        <f t="shared" si="503"/>
        <v>1205</v>
      </c>
      <c r="BK105" s="41">
        <f t="shared" si="503"/>
        <v>1205</v>
      </c>
      <c r="BL105" s="41">
        <f t="shared" si="503"/>
        <v>1205</v>
      </c>
      <c r="BM105" s="41">
        <f t="shared" si="503"/>
        <v>1205</v>
      </c>
      <c r="BN105" s="41">
        <f t="shared" si="503"/>
        <v>1205</v>
      </c>
      <c r="BO105" s="41">
        <f t="shared" si="503"/>
        <v>1205</v>
      </c>
      <c r="BP105" s="41">
        <f t="shared" si="503"/>
        <v>1205</v>
      </c>
      <c r="BQ105" s="41">
        <f t="shared" si="503"/>
        <v>1205</v>
      </c>
      <c r="BR105" s="41">
        <f t="shared" si="503"/>
        <v>1205</v>
      </c>
      <c r="BS105" s="41">
        <f t="shared" si="503"/>
        <v>1205</v>
      </c>
      <c r="BT105" s="37"/>
      <c r="BU105" s="37"/>
    </row>
    <row r="106" spans="1:73" ht="15.75" customHeight="1">
      <c r="B106" s="2"/>
      <c r="C106" s="2"/>
      <c r="D106" s="2"/>
      <c r="E106" s="144"/>
      <c r="H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</row>
    <row r="107" spans="1:73" ht="15.75" customHeight="1"/>
    <row r="108" spans="1:73" ht="15.75" customHeight="1"/>
    <row r="109" spans="1:73" ht="15.75" customHeight="1"/>
    <row r="110" spans="1:73" ht="15.75" customHeight="1"/>
    <row r="111" spans="1:73" ht="15.75" customHeight="1"/>
    <row r="112" spans="1:73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U1000"/>
  <sheetViews>
    <sheetView workbookViewId="0">
      <selection activeCell="I32" sqref="I32"/>
    </sheetView>
  </sheetViews>
  <sheetFormatPr defaultColWidth="14.453125" defaultRowHeight="15" customHeight="1"/>
  <cols>
    <col min="1" max="1" width="11.81640625" customWidth="1"/>
    <col min="2" max="2" width="12.1796875" customWidth="1"/>
    <col min="3" max="3" width="15.54296875" customWidth="1"/>
    <col min="4" max="4" width="15.26953125" customWidth="1"/>
    <col min="5" max="5" width="13.81640625" customWidth="1"/>
    <col min="7" max="7" width="4.1796875" customWidth="1"/>
    <col min="8" max="8" width="8.1796875" customWidth="1"/>
    <col min="9" max="9" width="10" customWidth="1"/>
    <col min="10" max="44" width="9" customWidth="1"/>
    <col min="45" max="71" width="8.1796875" customWidth="1"/>
    <col min="72" max="72" width="12.7265625" customWidth="1"/>
    <col min="73" max="73" width="11.81640625" customWidth="1"/>
    <col min="74" max="74" width="12.26953125" customWidth="1"/>
    <col min="75" max="75" width="15.54296875" customWidth="1"/>
    <col min="76" max="76" width="15.26953125" customWidth="1"/>
    <col min="77" max="77" width="13.81640625" customWidth="1"/>
    <col min="79" max="79" width="4.1796875" customWidth="1"/>
    <col min="80" max="80" width="8.1796875" customWidth="1"/>
    <col min="81" max="81" width="10" customWidth="1"/>
    <col min="82" max="116" width="9" customWidth="1"/>
    <col min="117" max="151" width="8.1796875" customWidth="1"/>
  </cols>
  <sheetData>
    <row r="1" spans="1:151" ht="14.5">
      <c r="A1" s="17" t="str">
        <f>Assumptions!A1</f>
        <v>Central Brewing Company</v>
      </c>
      <c r="B1" s="2"/>
      <c r="C1" s="2"/>
      <c r="D1" s="2"/>
      <c r="E1" s="2"/>
      <c r="F1" s="2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>
        <f>Assumptions!BA1</f>
        <v>0</v>
      </c>
      <c r="BU1" s="2"/>
      <c r="BV1" s="2"/>
      <c r="BW1" s="2"/>
      <c r="BX1" s="2"/>
      <c r="BY1" s="2"/>
      <c r="BZ1" s="2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</row>
    <row r="2" spans="1:151" ht="14.5">
      <c r="A2" s="17" t="s">
        <v>296</v>
      </c>
      <c r="B2" s="2"/>
      <c r="C2" s="2"/>
      <c r="D2" s="2"/>
      <c r="E2" s="2"/>
      <c r="F2" s="2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 t="s">
        <v>296</v>
      </c>
      <c r="BU2" s="2"/>
      <c r="BV2" s="2"/>
      <c r="BW2" s="2"/>
      <c r="BX2" s="2"/>
      <c r="BY2" s="2"/>
      <c r="BZ2" s="2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</row>
    <row r="3" spans="1:151" ht="14.5">
      <c r="A3" s="17"/>
      <c r="B3" s="2"/>
      <c r="C3" s="2"/>
      <c r="D3" s="2"/>
      <c r="E3" s="2"/>
      <c r="F3" s="2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2"/>
      <c r="BV3" s="2"/>
      <c r="BW3" s="2"/>
      <c r="BX3" s="2"/>
      <c r="BY3" s="2"/>
      <c r="BZ3" s="2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</row>
    <row r="4" spans="1:151" ht="14.5">
      <c r="A4" s="17" t="s">
        <v>297</v>
      </c>
      <c r="B4" s="2"/>
      <c r="C4" s="2"/>
      <c r="D4" s="2"/>
      <c r="E4" s="2"/>
      <c r="F4" s="2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 t="s">
        <v>298</v>
      </c>
      <c r="BU4" s="2"/>
      <c r="BV4" s="2"/>
      <c r="BW4" s="2"/>
      <c r="BX4" s="2"/>
      <c r="BY4" s="2"/>
      <c r="BZ4" s="2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</row>
    <row r="5" spans="1:151" ht="14.5">
      <c r="A5" s="163"/>
      <c r="B5" s="164"/>
      <c r="C5" s="163"/>
      <c r="D5" s="165"/>
      <c r="E5" s="166"/>
      <c r="F5" s="163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63"/>
      <c r="BU5" s="164"/>
      <c r="BV5" s="163"/>
      <c r="BW5" s="163"/>
      <c r="BX5" s="165"/>
      <c r="BY5" s="166"/>
      <c r="BZ5" s="163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</row>
    <row r="6" spans="1:151" ht="14.5">
      <c r="A6" s="163" t="s">
        <v>299</v>
      </c>
      <c r="B6" s="164">
        <f>Assumptions!B34</f>
        <v>0</v>
      </c>
      <c r="C6" s="163"/>
      <c r="D6" s="166"/>
      <c r="E6" s="163"/>
      <c r="F6" s="163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63" t="s">
        <v>299</v>
      </c>
      <c r="BU6" s="164">
        <f>Assumptions!$B$38</f>
        <v>0</v>
      </c>
      <c r="BV6" s="163"/>
      <c r="BW6" s="163"/>
      <c r="BX6" s="166"/>
      <c r="BY6" s="163"/>
      <c r="BZ6" s="163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</row>
    <row r="7" spans="1:151" ht="14.5">
      <c r="A7" s="163" t="s">
        <v>300</v>
      </c>
      <c r="B7" s="167">
        <f>Assumptions!B37</f>
        <v>0.1</v>
      </c>
      <c r="C7" s="167">
        <f>B7/12</f>
        <v>8.3333333333333332E-3</v>
      </c>
      <c r="D7" s="165"/>
      <c r="E7" s="163"/>
      <c r="F7" s="163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63" t="s">
        <v>300</v>
      </c>
      <c r="BU7" s="167">
        <f>Assumptions!$B$41</f>
        <v>0</v>
      </c>
      <c r="BV7" s="167">
        <f>BU7/12</f>
        <v>0</v>
      </c>
      <c r="BW7" s="163"/>
      <c r="BX7" s="165"/>
      <c r="BY7" s="163"/>
      <c r="BZ7" s="163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</row>
    <row r="8" spans="1:151" ht="14.5">
      <c r="A8" s="163" t="s">
        <v>301</v>
      </c>
      <c r="B8" s="164">
        <f>Assumptions!B35</f>
        <v>120</v>
      </c>
      <c r="C8" s="163"/>
      <c r="D8" s="163"/>
      <c r="E8" s="163"/>
      <c r="F8" s="163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63" t="s">
        <v>301</v>
      </c>
      <c r="BU8" s="164">
        <f>Assumptions!$B$39</f>
        <v>0</v>
      </c>
      <c r="BV8" s="163"/>
      <c r="BW8" s="163"/>
      <c r="BX8" s="163"/>
      <c r="BY8" s="163"/>
      <c r="BZ8" s="163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</row>
    <row r="9" spans="1:151" ht="14.5">
      <c r="A9" s="163"/>
      <c r="B9" s="163"/>
      <c r="C9" s="165"/>
      <c r="D9" s="163"/>
      <c r="E9" s="163"/>
      <c r="F9" s="163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63"/>
      <c r="BU9" s="163"/>
      <c r="BV9" s="163"/>
      <c r="BW9" s="165"/>
      <c r="BX9" s="163"/>
      <c r="BY9" s="163"/>
      <c r="BZ9" s="163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</row>
    <row r="10" spans="1:151" ht="14.5">
      <c r="A10" s="163"/>
      <c r="B10" s="163"/>
      <c r="C10" s="163"/>
      <c r="D10" s="163"/>
      <c r="E10" s="377" t="s">
        <v>302</v>
      </c>
      <c r="F10" s="378"/>
      <c r="G10" s="17"/>
      <c r="H10" s="17" t="s">
        <v>303</v>
      </c>
      <c r="I10" s="39">
        <f>I11+Assumptions!$B$36-1</f>
        <v>1</v>
      </c>
      <c r="J10" s="39">
        <f>J11+Assumptions!$B$36-1</f>
        <v>2</v>
      </c>
      <c r="K10" s="39">
        <f>K11+Assumptions!$B$36-1</f>
        <v>3</v>
      </c>
      <c r="L10" s="39">
        <f>L11+Assumptions!$B$36-1</f>
        <v>4</v>
      </c>
      <c r="M10" s="39">
        <f>M11+Assumptions!$B$36-1</f>
        <v>5</v>
      </c>
      <c r="N10" s="39">
        <f>N11+Assumptions!$B$36-1</f>
        <v>6</v>
      </c>
      <c r="O10" s="39">
        <f>O11+Assumptions!$B$36-1</f>
        <v>7</v>
      </c>
      <c r="P10" s="39">
        <f>P11+Assumptions!$B$36-1</f>
        <v>8</v>
      </c>
      <c r="Q10" s="39">
        <f>Q11+Assumptions!$B$36-1</f>
        <v>9</v>
      </c>
      <c r="R10" s="39">
        <f>R11+Assumptions!$B$36-1</f>
        <v>10</v>
      </c>
      <c r="S10" s="39">
        <f>S11+Assumptions!$B$36-1</f>
        <v>11</v>
      </c>
      <c r="T10" s="39">
        <f>T11+Assumptions!$B$36-1</f>
        <v>12</v>
      </c>
      <c r="U10" s="39">
        <f>U11+Assumptions!$B$36-1</f>
        <v>13</v>
      </c>
      <c r="V10" s="39">
        <f>V11+Assumptions!$B$36-1</f>
        <v>14</v>
      </c>
      <c r="W10" s="39">
        <f>W11+Assumptions!$B$36-1</f>
        <v>15</v>
      </c>
      <c r="X10" s="39">
        <f>X11+Assumptions!$B$36-1</f>
        <v>16</v>
      </c>
      <c r="Y10" s="39">
        <f>Y11+Assumptions!$B$36-1</f>
        <v>17</v>
      </c>
      <c r="Z10" s="39">
        <f>Z11+Assumptions!$B$36-1</f>
        <v>18</v>
      </c>
      <c r="AA10" s="39">
        <f>AA11+Assumptions!$B$36-1</f>
        <v>19</v>
      </c>
      <c r="AB10" s="39">
        <f>AB11+Assumptions!$B$36-1</f>
        <v>20</v>
      </c>
      <c r="AC10" s="39">
        <f>AC11+Assumptions!$B$36-1</f>
        <v>21</v>
      </c>
      <c r="AD10" s="39">
        <f>AD11+Assumptions!$B$36-1</f>
        <v>22</v>
      </c>
      <c r="AE10" s="39">
        <f>AE11+Assumptions!$B$36-1</f>
        <v>23</v>
      </c>
      <c r="AF10" s="39">
        <f>AF11+Assumptions!$B$36-1</f>
        <v>24</v>
      </c>
      <c r="AG10" s="39">
        <f>AG11+Assumptions!$B$36-1</f>
        <v>25</v>
      </c>
      <c r="AH10" s="39">
        <f>AH11+Assumptions!$B$36-1</f>
        <v>26</v>
      </c>
      <c r="AI10" s="39">
        <f>AI11+Assumptions!$B$36-1</f>
        <v>27</v>
      </c>
      <c r="AJ10" s="39">
        <f>AJ11+Assumptions!$B$36-1</f>
        <v>28</v>
      </c>
      <c r="AK10" s="39">
        <f>AK11+Assumptions!$B$36-1</f>
        <v>29</v>
      </c>
      <c r="AL10" s="39">
        <f>AL11+Assumptions!$B$36-1</f>
        <v>30</v>
      </c>
      <c r="AM10" s="39">
        <f>AM11+Assumptions!$B$36-1</f>
        <v>31</v>
      </c>
      <c r="AN10" s="39">
        <f>AN11+Assumptions!$B$36-1</f>
        <v>32</v>
      </c>
      <c r="AO10" s="39">
        <f>AO11+Assumptions!$B$36-1</f>
        <v>33</v>
      </c>
      <c r="AP10" s="39">
        <f>AP11+Assumptions!$B$36-1</f>
        <v>34</v>
      </c>
      <c r="AQ10" s="39">
        <f>AQ11+Assumptions!$B$36-1</f>
        <v>35</v>
      </c>
      <c r="AR10" s="39">
        <f>AR11+Assumptions!$B$36-1</f>
        <v>36</v>
      </c>
      <c r="AS10" s="39">
        <f>AS11+Assumptions!$B$36-1</f>
        <v>37</v>
      </c>
      <c r="AT10" s="39">
        <f>AT11+Assumptions!$B$36-1</f>
        <v>38</v>
      </c>
      <c r="AU10" s="39">
        <f>AU11+Assumptions!$B$36-1</f>
        <v>39</v>
      </c>
      <c r="AV10" s="39">
        <f>AV11+Assumptions!$B$36-1</f>
        <v>40</v>
      </c>
      <c r="AW10" s="39">
        <f>AW11+Assumptions!$B$36-1</f>
        <v>41</v>
      </c>
      <c r="AX10" s="39">
        <f>AX11+Assumptions!$B$36-1</f>
        <v>42</v>
      </c>
      <c r="AY10" s="39">
        <f>AY11+Assumptions!$B$36-1</f>
        <v>43</v>
      </c>
      <c r="AZ10" s="39">
        <f>AZ11+Assumptions!$B$36-1</f>
        <v>44</v>
      </c>
      <c r="BA10" s="39">
        <f>BA11+Assumptions!$B$36-1</f>
        <v>45</v>
      </c>
      <c r="BB10" s="39">
        <f>BB11+Assumptions!$B$36-1</f>
        <v>46</v>
      </c>
      <c r="BC10" s="39">
        <f>BC11+Assumptions!$B$36-1</f>
        <v>47</v>
      </c>
      <c r="BD10" s="39">
        <f>BD11+Assumptions!$B$36-1</f>
        <v>48</v>
      </c>
      <c r="BE10" s="39">
        <f>BE11+Assumptions!$B$36-1</f>
        <v>49</v>
      </c>
      <c r="BF10" s="39">
        <f>BF11+Assumptions!$B$36-1</f>
        <v>50</v>
      </c>
      <c r="BG10" s="39">
        <f>BG11+Assumptions!$B$36-1</f>
        <v>51</v>
      </c>
      <c r="BH10" s="39">
        <f>BH11+Assumptions!$B$36-1</f>
        <v>52</v>
      </c>
      <c r="BI10" s="39">
        <f>BI11+Assumptions!$B$36-1</f>
        <v>53</v>
      </c>
      <c r="BJ10" s="39">
        <f>BJ11+Assumptions!$B$36-1</f>
        <v>54</v>
      </c>
      <c r="BK10" s="39">
        <f>BK11+Assumptions!$B$36-1</f>
        <v>55</v>
      </c>
      <c r="BL10" s="39">
        <f>BL11+Assumptions!$B$36-1</f>
        <v>56</v>
      </c>
      <c r="BM10" s="39">
        <f>BM11+Assumptions!$B$36-1</f>
        <v>57</v>
      </c>
      <c r="BN10" s="39">
        <f>BN11+Assumptions!$B$36-1</f>
        <v>58</v>
      </c>
      <c r="BO10" s="39">
        <f>BO11+Assumptions!$B$36-1</f>
        <v>59</v>
      </c>
      <c r="BP10" s="39">
        <f>BP11+Assumptions!$B$36-1</f>
        <v>60</v>
      </c>
      <c r="BQ10" s="39">
        <f>BQ11+Assumptions!$B$36-1</f>
        <v>61</v>
      </c>
      <c r="BR10" s="17"/>
      <c r="BS10" s="17"/>
      <c r="BT10" s="163"/>
      <c r="BU10" s="163"/>
      <c r="BV10" s="163"/>
      <c r="BW10" s="163"/>
      <c r="BX10" s="163"/>
      <c r="BY10" s="377" t="s">
        <v>302</v>
      </c>
      <c r="BZ10" s="378"/>
      <c r="CA10" s="17"/>
      <c r="CB10" s="17" t="s">
        <v>303</v>
      </c>
      <c r="CC10" s="39">
        <f>CC11+Assumptions!$B$40-1</f>
        <v>1</v>
      </c>
      <c r="CD10" s="39">
        <f>CD11+Assumptions!$B$40-1</f>
        <v>2</v>
      </c>
      <c r="CE10" s="39">
        <f>CE11+Assumptions!$B$40-1</f>
        <v>3</v>
      </c>
      <c r="CF10" s="39">
        <f>CF11+Assumptions!$B$40-1</f>
        <v>4</v>
      </c>
      <c r="CG10" s="39">
        <f>CG11+Assumptions!$B$40-1</f>
        <v>5</v>
      </c>
      <c r="CH10" s="39">
        <f>CH11+Assumptions!$B$40-1</f>
        <v>6</v>
      </c>
      <c r="CI10" s="39">
        <f>CI11+Assumptions!$B$40-1</f>
        <v>7</v>
      </c>
      <c r="CJ10" s="39">
        <f>CJ11+Assumptions!$B$40-1</f>
        <v>8</v>
      </c>
      <c r="CK10" s="39">
        <f>CK11+Assumptions!$B$40-1</f>
        <v>9</v>
      </c>
      <c r="CL10" s="39">
        <f>CL11+Assumptions!$B$40-1</f>
        <v>10</v>
      </c>
      <c r="CM10" s="39">
        <f>CM11+Assumptions!$B$40-1</f>
        <v>11</v>
      </c>
      <c r="CN10" s="39">
        <f>CN11+Assumptions!$B$40-1</f>
        <v>12</v>
      </c>
      <c r="CO10" s="39">
        <f>CO11+Assumptions!$B$40-1</f>
        <v>13</v>
      </c>
      <c r="CP10" s="39">
        <f>CP11+Assumptions!$B$40-1</f>
        <v>14</v>
      </c>
      <c r="CQ10" s="39">
        <f>CQ11+Assumptions!$B$40-1</f>
        <v>15</v>
      </c>
      <c r="CR10" s="39">
        <f>CR11+Assumptions!$B$40-1</f>
        <v>16</v>
      </c>
      <c r="CS10" s="39">
        <f>CS11+Assumptions!$B$40-1</f>
        <v>17</v>
      </c>
      <c r="CT10" s="39">
        <f>CT11+Assumptions!$B$40-1</f>
        <v>18</v>
      </c>
      <c r="CU10" s="39">
        <f>CU11+Assumptions!$B$40-1</f>
        <v>19</v>
      </c>
      <c r="CV10" s="39">
        <f>CV11+Assumptions!$B$40-1</f>
        <v>20</v>
      </c>
      <c r="CW10" s="39">
        <f>CW11+Assumptions!$B$40-1</f>
        <v>21</v>
      </c>
      <c r="CX10" s="39">
        <f>CX11+Assumptions!$B$40-1</f>
        <v>22</v>
      </c>
      <c r="CY10" s="39">
        <f>CY11+Assumptions!$B$40-1</f>
        <v>23</v>
      </c>
      <c r="CZ10" s="39">
        <f>CZ11+Assumptions!$B$40-1</f>
        <v>24</v>
      </c>
      <c r="DA10" s="39">
        <f>DA11+Assumptions!$B$40-1</f>
        <v>25</v>
      </c>
      <c r="DB10" s="39">
        <f>DB11+Assumptions!$B$40-1</f>
        <v>26</v>
      </c>
      <c r="DC10" s="39">
        <f>DC11+Assumptions!$B$40-1</f>
        <v>27</v>
      </c>
      <c r="DD10" s="39">
        <f>DD11+Assumptions!$B$40-1</f>
        <v>28</v>
      </c>
      <c r="DE10" s="39">
        <f>DE11+Assumptions!$B$40-1</f>
        <v>29</v>
      </c>
      <c r="DF10" s="39">
        <f>DF11+Assumptions!$B$40-1</f>
        <v>30</v>
      </c>
      <c r="DG10" s="39">
        <f>DG11+Assumptions!$B$40-1</f>
        <v>31</v>
      </c>
      <c r="DH10" s="39">
        <f>DH11+Assumptions!$B$40-1</f>
        <v>32</v>
      </c>
      <c r="DI10" s="39">
        <f>DI11+Assumptions!$B$40-1</f>
        <v>33</v>
      </c>
      <c r="DJ10" s="39">
        <f>DJ11+Assumptions!$B$40-1</f>
        <v>34</v>
      </c>
      <c r="DK10" s="39">
        <f>DK11+Assumptions!$B$40-1</f>
        <v>35</v>
      </c>
      <c r="DL10" s="39">
        <f>DL11+Assumptions!$B$40-1</f>
        <v>36</v>
      </c>
      <c r="DM10" s="39">
        <f>DM11+Assumptions!$B$40-1</f>
        <v>37</v>
      </c>
      <c r="DN10" s="39">
        <f>DN11+Assumptions!$B$40-1</f>
        <v>38</v>
      </c>
      <c r="DO10" s="39">
        <f>DO11+Assumptions!$B$40-1</f>
        <v>39</v>
      </c>
      <c r="DP10" s="39">
        <f>DP11+Assumptions!$B$40-1</f>
        <v>40</v>
      </c>
      <c r="DQ10" s="39">
        <f>DQ11+Assumptions!$B$40-1</f>
        <v>41</v>
      </c>
      <c r="DR10" s="39">
        <f>DR11+Assumptions!$B$40-1</f>
        <v>42</v>
      </c>
      <c r="DS10" s="39">
        <f>DS11+Assumptions!$B$40-1</f>
        <v>43</v>
      </c>
      <c r="DT10" s="39">
        <f>DT11+Assumptions!$B$40-1</f>
        <v>44</v>
      </c>
      <c r="DU10" s="39">
        <f>DU11+Assumptions!$B$40-1</f>
        <v>45</v>
      </c>
      <c r="DV10" s="39">
        <f>DV11+Assumptions!$B$40-1</f>
        <v>46</v>
      </c>
      <c r="DW10" s="39">
        <f>DW11+Assumptions!$B$40-1</f>
        <v>47</v>
      </c>
      <c r="DX10" s="39">
        <f>DX11+Assumptions!$B$40-1</f>
        <v>48</v>
      </c>
      <c r="DY10" s="39">
        <f>DY11+Assumptions!$B$40-1</f>
        <v>49</v>
      </c>
      <c r="DZ10" s="39">
        <f>DZ11+Assumptions!$B$40-1</f>
        <v>50</v>
      </c>
      <c r="EA10" s="39">
        <f>EA11+Assumptions!$B$40-1</f>
        <v>51</v>
      </c>
      <c r="EB10" s="39">
        <f>EB11+Assumptions!$B$40-1</f>
        <v>52</v>
      </c>
      <c r="EC10" s="39">
        <f>EC11+Assumptions!$B$40-1</f>
        <v>53</v>
      </c>
      <c r="ED10" s="39">
        <f>ED11+Assumptions!$B$40-1</f>
        <v>54</v>
      </c>
      <c r="EE10" s="39">
        <f>EE11+Assumptions!$B$40-1</f>
        <v>55</v>
      </c>
      <c r="EF10" s="39">
        <f>EF11+Assumptions!$B$40-1</f>
        <v>56</v>
      </c>
      <c r="EG10" s="39">
        <f>EG11+Assumptions!$B$40-1</f>
        <v>57</v>
      </c>
      <c r="EH10" s="39">
        <f>EH11+Assumptions!$B$40-1</f>
        <v>58</v>
      </c>
      <c r="EI10" s="39">
        <f>EI11+Assumptions!$B$40-1</f>
        <v>59</v>
      </c>
      <c r="EJ10" s="39">
        <f>EJ11+Assumptions!$B$40-1</f>
        <v>60</v>
      </c>
      <c r="EK10" s="39">
        <f>EK11+Assumptions!$B$40-1</f>
        <v>61</v>
      </c>
      <c r="EL10" s="17"/>
      <c r="EM10" s="17"/>
      <c r="EN10" s="17"/>
      <c r="EO10" s="17"/>
      <c r="EP10" s="17"/>
      <c r="EQ10" s="17"/>
      <c r="ER10" s="17"/>
      <c r="ES10" s="17"/>
      <c r="ET10" s="17"/>
      <c r="EU10" s="17"/>
    </row>
    <row r="11" spans="1:151" ht="14.5">
      <c r="A11" s="168" t="s">
        <v>304</v>
      </c>
      <c r="B11" s="168" t="s">
        <v>261</v>
      </c>
      <c r="C11" s="168" t="s">
        <v>305</v>
      </c>
      <c r="D11" s="168" t="s">
        <v>306</v>
      </c>
      <c r="E11" s="168" t="s">
        <v>307</v>
      </c>
      <c r="F11" s="168" t="s">
        <v>308</v>
      </c>
      <c r="G11" s="17"/>
      <c r="H11" s="17" t="s">
        <v>309</v>
      </c>
      <c r="I11" s="17">
        <v>1</v>
      </c>
      <c r="J11" s="17">
        <f t="shared" ref="J11:BQ11" si="0">I11+1</f>
        <v>2</v>
      </c>
      <c r="K11" s="17">
        <f t="shared" si="0"/>
        <v>3</v>
      </c>
      <c r="L11" s="17">
        <f t="shared" si="0"/>
        <v>4</v>
      </c>
      <c r="M11" s="17">
        <f t="shared" si="0"/>
        <v>5</v>
      </c>
      <c r="N11" s="17">
        <f t="shared" si="0"/>
        <v>6</v>
      </c>
      <c r="O11" s="17">
        <f t="shared" si="0"/>
        <v>7</v>
      </c>
      <c r="P11" s="17">
        <f t="shared" si="0"/>
        <v>8</v>
      </c>
      <c r="Q11" s="17">
        <f t="shared" si="0"/>
        <v>9</v>
      </c>
      <c r="R11" s="17">
        <f t="shared" si="0"/>
        <v>10</v>
      </c>
      <c r="S11" s="17">
        <f t="shared" si="0"/>
        <v>11</v>
      </c>
      <c r="T11" s="17">
        <f t="shared" si="0"/>
        <v>12</v>
      </c>
      <c r="U11" s="17">
        <f t="shared" si="0"/>
        <v>13</v>
      </c>
      <c r="V11" s="17">
        <f t="shared" si="0"/>
        <v>14</v>
      </c>
      <c r="W11" s="17">
        <f t="shared" si="0"/>
        <v>15</v>
      </c>
      <c r="X11" s="17">
        <f t="shared" si="0"/>
        <v>16</v>
      </c>
      <c r="Y11" s="17">
        <f t="shared" si="0"/>
        <v>17</v>
      </c>
      <c r="Z11" s="17">
        <f t="shared" si="0"/>
        <v>18</v>
      </c>
      <c r="AA11" s="17">
        <f t="shared" si="0"/>
        <v>19</v>
      </c>
      <c r="AB11" s="17">
        <f t="shared" si="0"/>
        <v>20</v>
      </c>
      <c r="AC11" s="17">
        <f t="shared" si="0"/>
        <v>21</v>
      </c>
      <c r="AD11" s="17">
        <f t="shared" si="0"/>
        <v>22</v>
      </c>
      <c r="AE11" s="17">
        <f t="shared" si="0"/>
        <v>23</v>
      </c>
      <c r="AF11" s="17">
        <f t="shared" si="0"/>
        <v>24</v>
      </c>
      <c r="AG11" s="17">
        <f t="shared" si="0"/>
        <v>25</v>
      </c>
      <c r="AH11" s="17">
        <f t="shared" si="0"/>
        <v>26</v>
      </c>
      <c r="AI11" s="17">
        <f t="shared" si="0"/>
        <v>27</v>
      </c>
      <c r="AJ11" s="17">
        <f t="shared" si="0"/>
        <v>28</v>
      </c>
      <c r="AK11" s="17">
        <f t="shared" si="0"/>
        <v>29</v>
      </c>
      <c r="AL11" s="17">
        <f t="shared" si="0"/>
        <v>30</v>
      </c>
      <c r="AM11" s="17">
        <f t="shared" si="0"/>
        <v>31</v>
      </c>
      <c r="AN11" s="17">
        <f t="shared" si="0"/>
        <v>32</v>
      </c>
      <c r="AO11" s="17">
        <f t="shared" si="0"/>
        <v>33</v>
      </c>
      <c r="AP11" s="17">
        <f t="shared" si="0"/>
        <v>34</v>
      </c>
      <c r="AQ11" s="17">
        <f t="shared" si="0"/>
        <v>35</v>
      </c>
      <c r="AR11" s="17">
        <f t="shared" si="0"/>
        <v>36</v>
      </c>
      <c r="AS11" s="17">
        <f t="shared" si="0"/>
        <v>37</v>
      </c>
      <c r="AT11" s="17">
        <f t="shared" si="0"/>
        <v>38</v>
      </c>
      <c r="AU11" s="17">
        <f t="shared" si="0"/>
        <v>39</v>
      </c>
      <c r="AV11" s="17">
        <f t="shared" si="0"/>
        <v>40</v>
      </c>
      <c r="AW11" s="17">
        <f t="shared" si="0"/>
        <v>41</v>
      </c>
      <c r="AX11" s="17">
        <f t="shared" si="0"/>
        <v>42</v>
      </c>
      <c r="AY11" s="17">
        <f t="shared" si="0"/>
        <v>43</v>
      </c>
      <c r="AZ11" s="17">
        <f t="shared" si="0"/>
        <v>44</v>
      </c>
      <c r="BA11" s="17">
        <f t="shared" si="0"/>
        <v>45</v>
      </c>
      <c r="BB11" s="17">
        <f t="shared" si="0"/>
        <v>46</v>
      </c>
      <c r="BC11" s="17">
        <f t="shared" si="0"/>
        <v>47</v>
      </c>
      <c r="BD11" s="17">
        <f t="shared" si="0"/>
        <v>48</v>
      </c>
      <c r="BE11" s="17">
        <f t="shared" si="0"/>
        <v>49</v>
      </c>
      <c r="BF11" s="17">
        <f t="shared" si="0"/>
        <v>50</v>
      </c>
      <c r="BG11" s="17">
        <f t="shared" si="0"/>
        <v>51</v>
      </c>
      <c r="BH11" s="17">
        <f t="shared" si="0"/>
        <v>52</v>
      </c>
      <c r="BI11" s="17">
        <f t="shared" si="0"/>
        <v>53</v>
      </c>
      <c r="BJ11" s="17">
        <f t="shared" si="0"/>
        <v>54</v>
      </c>
      <c r="BK11" s="17">
        <f t="shared" si="0"/>
        <v>55</v>
      </c>
      <c r="BL11" s="17">
        <f t="shared" si="0"/>
        <v>56</v>
      </c>
      <c r="BM11" s="17">
        <f t="shared" si="0"/>
        <v>57</v>
      </c>
      <c r="BN11" s="17">
        <f t="shared" si="0"/>
        <v>58</v>
      </c>
      <c r="BO11" s="17">
        <f t="shared" si="0"/>
        <v>59</v>
      </c>
      <c r="BP11" s="17">
        <f t="shared" si="0"/>
        <v>60</v>
      </c>
      <c r="BQ11" s="17">
        <f t="shared" si="0"/>
        <v>61</v>
      </c>
      <c r="BR11" s="17"/>
      <c r="BS11" s="17"/>
      <c r="BT11" s="163"/>
      <c r="BU11" s="168" t="s">
        <v>304</v>
      </c>
      <c r="BV11" s="168" t="s">
        <v>261</v>
      </c>
      <c r="BW11" s="168" t="s">
        <v>305</v>
      </c>
      <c r="BX11" s="168" t="s">
        <v>306</v>
      </c>
      <c r="BY11" s="168" t="s">
        <v>307</v>
      </c>
      <c r="BZ11" s="168" t="s">
        <v>308</v>
      </c>
      <c r="CA11" s="17"/>
      <c r="CB11" s="17" t="s">
        <v>309</v>
      </c>
      <c r="CC11" s="17">
        <v>1</v>
      </c>
      <c r="CD11" s="17">
        <f t="shared" ref="CD11:EK11" si="1">CC11+1</f>
        <v>2</v>
      </c>
      <c r="CE11" s="17">
        <f t="shared" si="1"/>
        <v>3</v>
      </c>
      <c r="CF11" s="17">
        <f t="shared" si="1"/>
        <v>4</v>
      </c>
      <c r="CG11" s="17">
        <f t="shared" si="1"/>
        <v>5</v>
      </c>
      <c r="CH11" s="17">
        <f t="shared" si="1"/>
        <v>6</v>
      </c>
      <c r="CI11" s="17">
        <f t="shared" si="1"/>
        <v>7</v>
      </c>
      <c r="CJ11" s="17">
        <f t="shared" si="1"/>
        <v>8</v>
      </c>
      <c r="CK11" s="17">
        <f t="shared" si="1"/>
        <v>9</v>
      </c>
      <c r="CL11" s="17">
        <f t="shared" si="1"/>
        <v>10</v>
      </c>
      <c r="CM11" s="17">
        <f t="shared" si="1"/>
        <v>11</v>
      </c>
      <c r="CN11" s="17">
        <f t="shared" si="1"/>
        <v>12</v>
      </c>
      <c r="CO11" s="17">
        <f t="shared" si="1"/>
        <v>13</v>
      </c>
      <c r="CP11" s="17">
        <f t="shared" si="1"/>
        <v>14</v>
      </c>
      <c r="CQ11" s="17">
        <f t="shared" si="1"/>
        <v>15</v>
      </c>
      <c r="CR11" s="17">
        <f t="shared" si="1"/>
        <v>16</v>
      </c>
      <c r="CS11" s="17">
        <f t="shared" si="1"/>
        <v>17</v>
      </c>
      <c r="CT11" s="17">
        <f t="shared" si="1"/>
        <v>18</v>
      </c>
      <c r="CU11" s="17">
        <f t="shared" si="1"/>
        <v>19</v>
      </c>
      <c r="CV11" s="17">
        <f t="shared" si="1"/>
        <v>20</v>
      </c>
      <c r="CW11" s="17">
        <f t="shared" si="1"/>
        <v>21</v>
      </c>
      <c r="CX11" s="17">
        <f t="shared" si="1"/>
        <v>22</v>
      </c>
      <c r="CY11" s="17">
        <f t="shared" si="1"/>
        <v>23</v>
      </c>
      <c r="CZ11" s="17">
        <f t="shared" si="1"/>
        <v>24</v>
      </c>
      <c r="DA11" s="17">
        <f t="shared" si="1"/>
        <v>25</v>
      </c>
      <c r="DB11" s="17">
        <f t="shared" si="1"/>
        <v>26</v>
      </c>
      <c r="DC11" s="17">
        <f t="shared" si="1"/>
        <v>27</v>
      </c>
      <c r="DD11" s="17">
        <f t="shared" si="1"/>
        <v>28</v>
      </c>
      <c r="DE11" s="17">
        <f t="shared" si="1"/>
        <v>29</v>
      </c>
      <c r="DF11" s="17">
        <f t="shared" si="1"/>
        <v>30</v>
      </c>
      <c r="DG11" s="17">
        <f t="shared" si="1"/>
        <v>31</v>
      </c>
      <c r="DH11" s="17">
        <f t="shared" si="1"/>
        <v>32</v>
      </c>
      <c r="DI11" s="17">
        <f t="shared" si="1"/>
        <v>33</v>
      </c>
      <c r="DJ11" s="17">
        <f t="shared" si="1"/>
        <v>34</v>
      </c>
      <c r="DK11" s="17">
        <f t="shared" si="1"/>
        <v>35</v>
      </c>
      <c r="DL11" s="17">
        <f t="shared" si="1"/>
        <v>36</v>
      </c>
      <c r="DM11" s="17">
        <f t="shared" si="1"/>
        <v>37</v>
      </c>
      <c r="DN11" s="17">
        <f t="shared" si="1"/>
        <v>38</v>
      </c>
      <c r="DO11" s="17">
        <f t="shared" si="1"/>
        <v>39</v>
      </c>
      <c r="DP11" s="17">
        <f t="shared" si="1"/>
        <v>40</v>
      </c>
      <c r="DQ11" s="17">
        <f t="shared" si="1"/>
        <v>41</v>
      </c>
      <c r="DR11" s="17">
        <f t="shared" si="1"/>
        <v>42</v>
      </c>
      <c r="DS11" s="17">
        <f t="shared" si="1"/>
        <v>43</v>
      </c>
      <c r="DT11" s="17">
        <f t="shared" si="1"/>
        <v>44</v>
      </c>
      <c r="DU11" s="17">
        <f t="shared" si="1"/>
        <v>45</v>
      </c>
      <c r="DV11" s="17">
        <f t="shared" si="1"/>
        <v>46</v>
      </c>
      <c r="DW11" s="17">
        <f t="shared" si="1"/>
        <v>47</v>
      </c>
      <c r="DX11" s="17">
        <f t="shared" si="1"/>
        <v>48</v>
      </c>
      <c r="DY11" s="17">
        <f t="shared" si="1"/>
        <v>49</v>
      </c>
      <c r="DZ11" s="17">
        <f t="shared" si="1"/>
        <v>50</v>
      </c>
      <c r="EA11" s="17">
        <f t="shared" si="1"/>
        <v>51</v>
      </c>
      <c r="EB11" s="17">
        <f t="shared" si="1"/>
        <v>52</v>
      </c>
      <c r="EC11" s="17">
        <f t="shared" si="1"/>
        <v>53</v>
      </c>
      <c r="ED11" s="17">
        <f t="shared" si="1"/>
        <v>54</v>
      </c>
      <c r="EE11" s="17">
        <f t="shared" si="1"/>
        <v>55</v>
      </c>
      <c r="EF11" s="17">
        <f t="shared" si="1"/>
        <v>56</v>
      </c>
      <c r="EG11" s="17">
        <f t="shared" si="1"/>
        <v>57</v>
      </c>
      <c r="EH11" s="17">
        <f t="shared" si="1"/>
        <v>58</v>
      </c>
      <c r="EI11" s="17">
        <f t="shared" si="1"/>
        <v>59</v>
      </c>
      <c r="EJ11" s="17">
        <f t="shared" si="1"/>
        <v>60</v>
      </c>
      <c r="EK11" s="17">
        <f t="shared" si="1"/>
        <v>61</v>
      </c>
      <c r="EL11" s="17"/>
      <c r="EM11" s="17"/>
      <c r="EN11" s="17"/>
      <c r="EO11" s="17"/>
      <c r="EP11" s="17"/>
      <c r="EQ11" s="17"/>
      <c r="ER11" s="17"/>
      <c r="ES11" s="17"/>
      <c r="ET11" s="17"/>
      <c r="EU11" s="17"/>
    </row>
    <row r="12" spans="1:151" ht="14.5">
      <c r="A12" s="163">
        <v>1</v>
      </c>
      <c r="B12" s="165">
        <f>IF(B6&lt;=1,0,PMT($C$7,$B$8,$B$6,,0))</f>
        <v>0</v>
      </c>
      <c r="C12" s="165">
        <f t="shared" ref="C12:C131" si="2">B12-D12</f>
        <v>0</v>
      </c>
      <c r="D12" s="165">
        <f t="shared" ref="D12:D131" si="3">-(E12*$C$7)</f>
        <v>0</v>
      </c>
      <c r="E12" s="164">
        <f>B6</f>
        <v>0</v>
      </c>
      <c r="F12" s="166">
        <f t="shared" ref="F12:F131" si="4">E12+C12</f>
        <v>0</v>
      </c>
      <c r="G12" s="17"/>
      <c r="H12" s="17" t="s">
        <v>310</v>
      </c>
      <c r="I12" s="39">
        <f t="shared" ref="I12:BQ12" si="5">-VLOOKUP(I$11,$A$12:$F$131,3,FALSE)</f>
        <v>0</v>
      </c>
      <c r="J12" s="39">
        <f t="shared" si="5"/>
        <v>0</v>
      </c>
      <c r="K12" s="39">
        <f t="shared" si="5"/>
        <v>0</v>
      </c>
      <c r="L12" s="39">
        <f t="shared" si="5"/>
        <v>0</v>
      </c>
      <c r="M12" s="39">
        <f t="shared" si="5"/>
        <v>0</v>
      </c>
      <c r="N12" s="39">
        <f t="shared" si="5"/>
        <v>0</v>
      </c>
      <c r="O12" s="39">
        <f t="shared" si="5"/>
        <v>0</v>
      </c>
      <c r="P12" s="39">
        <f t="shared" si="5"/>
        <v>0</v>
      </c>
      <c r="Q12" s="39">
        <f t="shared" si="5"/>
        <v>0</v>
      </c>
      <c r="R12" s="39">
        <f t="shared" si="5"/>
        <v>0</v>
      </c>
      <c r="S12" s="39">
        <f t="shared" si="5"/>
        <v>0</v>
      </c>
      <c r="T12" s="39">
        <f t="shared" si="5"/>
        <v>0</v>
      </c>
      <c r="U12" s="39">
        <f t="shared" si="5"/>
        <v>0</v>
      </c>
      <c r="V12" s="39">
        <f t="shared" si="5"/>
        <v>0</v>
      </c>
      <c r="W12" s="39">
        <f t="shared" si="5"/>
        <v>0</v>
      </c>
      <c r="X12" s="39">
        <f t="shared" si="5"/>
        <v>0</v>
      </c>
      <c r="Y12" s="39">
        <f t="shared" si="5"/>
        <v>0</v>
      </c>
      <c r="Z12" s="39">
        <f t="shared" si="5"/>
        <v>0</v>
      </c>
      <c r="AA12" s="39">
        <f t="shared" si="5"/>
        <v>0</v>
      </c>
      <c r="AB12" s="39">
        <f t="shared" si="5"/>
        <v>0</v>
      </c>
      <c r="AC12" s="39">
        <f t="shared" si="5"/>
        <v>0</v>
      </c>
      <c r="AD12" s="39">
        <f t="shared" si="5"/>
        <v>0</v>
      </c>
      <c r="AE12" s="39">
        <f t="shared" si="5"/>
        <v>0</v>
      </c>
      <c r="AF12" s="39">
        <f t="shared" si="5"/>
        <v>0</v>
      </c>
      <c r="AG12" s="39">
        <f t="shared" si="5"/>
        <v>0</v>
      </c>
      <c r="AH12" s="39">
        <f t="shared" si="5"/>
        <v>0</v>
      </c>
      <c r="AI12" s="39">
        <f t="shared" si="5"/>
        <v>0</v>
      </c>
      <c r="AJ12" s="39">
        <f t="shared" si="5"/>
        <v>0</v>
      </c>
      <c r="AK12" s="39">
        <f t="shared" si="5"/>
        <v>0</v>
      </c>
      <c r="AL12" s="39">
        <f t="shared" si="5"/>
        <v>0</v>
      </c>
      <c r="AM12" s="39">
        <f t="shared" si="5"/>
        <v>0</v>
      </c>
      <c r="AN12" s="39">
        <f t="shared" si="5"/>
        <v>0</v>
      </c>
      <c r="AO12" s="39">
        <f t="shared" si="5"/>
        <v>0</v>
      </c>
      <c r="AP12" s="39">
        <f t="shared" si="5"/>
        <v>0</v>
      </c>
      <c r="AQ12" s="39">
        <f t="shared" si="5"/>
        <v>0</v>
      </c>
      <c r="AR12" s="39">
        <f t="shared" si="5"/>
        <v>0</v>
      </c>
      <c r="AS12" s="39">
        <f t="shared" si="5"/>
        <v>0</v>
      </c>
      <c r="AT12" s="39">
        <f t="shared" si="5"/>
        <v>0</v>
      </c>
      <c r="AU12" s="39">
        <f t="shared" si="5"/>
        <v>0</v>
      </c>
      <c r="AV12" s="39">
        <f t="shared" si="5"/>
        <v>0</v>
      </c>
      <c r="AW12" s="39">
        <f t="shared" si="5"/>
        <v>0</v>
      </c>
      <c r="AX12" s="39">
        <f t="shared" si="5"/>
        <v>0</v>
      </c>
      <c r="AY12" s="39">
        <f t="shared" si="5"/>
        <v>0</v>
      </c>
      <c r="AZ12" s="39">
        <f t="shared" si="5"/>
        <v>0</v>
      </c>
      <c r="BA12" s="39">
        <f t="shared" si="5"/>
        <v>0</v>
      </c>
      <c r="BB12" s="39">
        <f t="shared" si="5"/>
        <v>0</v>
      </c>
      <c r="BC12" s="39">
        <f t="shared" si="5"/>
        <v>0</v>
      </c>
      <c r="BD12" s="39">
        <f t="shared" si="5"/>
        <v>0</v>
      </c>
      <c r="BE12" s="39">
        <f t="shared" si="5"/>
        <v>0</v>
      </c>
      <c r="BF12" s="39">
        <f t="shared" si="5"/>
        <v>0</v>
      </c>
      <c r="BG12" s="39">
        <f t="shared" si="5"/>
        <v>0</v>
      </c>
      <c r="BH12" s="39">
        <f t="shared" si="5"/>
        <v>0</v>
      </c>
      <c r="BI12" s="39">
        <f t="shared" si="5"/>
        <v>0</v>
      </c>
      <c r="BJ12" s="39">
        <f t="shared" si="5"/>
        <v>0</v>
      </c>
      <c r="BK12" s="39">
        <f t="shared" si="5"/>
        <v>0</v>
      </c>
      <c r="BL12" s="39">
        <f t="shared" si="5"/>
        <v>0</v>
      </c>
      <c r="BM12" s="39">
        <f t="shared" si="5"/>
        <v>0</v>
      </c>
      <c r="BN12" s="39">
        <f t="shared" si="5"/>
        <v>0</v>
      </c>
      <c r="BO12" s="39">
        <f t="shared" si="5"/>
        <v>0</v>
      </c>
      <c r="BP12" s="39">
        <f t="shared" si="5"/>
        <v>0</v>
      </c>
      <c r="BQ12" s="39">
        <f t="shared" si="5"/>
        <v>0</v>
      </c>
      <c r="BR12" s="17"/>
      <c r="BS12" s="17"/>
      <c r="BT12" s="165"/>
      <c r="BU12" s="163">
        <v>1</v>
      </c>
      <c r="BV12" s="165">
        <f>IF(BY12&lt;=1,0,PMT($BV$7,$BU$8,$BU$6,,0))</f>
        <v>0</v>
      </c>
      <c r="BW12" s="165">
        <f t="shared" ref="BW12:BW131" si="6">BV12-BX12</f>
        <v>0</v>
      </c>
      <c r="BX12" s="165">
        <f t="shared" ref="BX12:BX131" si="7">-(BY12*$BV$7)</f>
        <v>0</v>
      </c>
      <c r="BY12" s="164">
        <f>BU6</f>
        <v>0</v>
      </c>
      <c r="BZ12" s="166">
        <f t="shared" ref="BZ12:BZ131" si="8">BY12+BW12</f>
        <v>0</v>
      </c>
      <c r="CA12" s="17"/>
      <c r="CB12" s="17" t="s">
        <v>310</v>
      </c>
      <c r="CC12" s="39">
        <f t="shared" ref="CC12:EK12" si="9">-VLOOKUP(CC$11,$BU$12:$BZ$131,3,FALSE)</f>
        <v>0</v>
      </c>
      <c r="CD12" s="39">
        <f t="shared" si="9"/>
        <v>0</v>
      </c>
      <c r="CE12" s="39">
        <f t="shared" si="9"/>
        <v>0</v>
      </c>
      <c r="CF12" s="39">
        <f t="shared" si="9"/>
        <v>0</v>
      </c>
      <c r="CG12" s="39">
        <f t="shared" si="9"/>
        <v>0</v>
      </c>
      <c r="CH12" s="39">
        <f t="shared" si="9"/>
        <v>0</v>
      </c>
      <c r="CI12" s="39">
        <f t="shared" si="9"/>
        <v>0</v>
      </c>
      <c r="CJ12" s="39">
        <f t="shared" si="9"/>
        <v>0</v>
      </c>
      <c r="CK12" s="39">
        <f t="shared" si="9"/>
        <v>0</v>
      </c>
      <c r="CL12" s="39">
        <f t="shared" si="9"/>
        <v>0</v>
      </c>
      <c r="CM12" s="39">
        <f t="shared" si="9"/>
        <v>0</v>
      </c>
      <c r="CN12" s="39">
        <f t="shared" si="9"/>
        <v>0</v>
      </c>
      <c r="CO12" s="39">
        <f t="shared" si="9"/>
        <v>0</v>
      </c>
      <c r="CP12" s="39">
        <f t="shared" si="9"/>
        <v>0</v>
      </c>
      <c r="CQ12" s="39">
        <f t="shared" si="9"/>
        <v>0</v>
      </c>
      <c r="CR12" s="39">
        <f t="shared" si="9"/>
        <v>0</v>
      </c>
      <c r="CS12" s="39">
        <f t="shared" si="9"/>
        <v>0</v>
      </c>
      <c r="CT12" s="39">
        <f t="shared" si="9"/>
        <v>0</v>
      </c>
      <c r="CU12" s="39">
        <f t="shared" si="9"/>
        <v>0</v>
      </c>
      <c r="CV12" s="39">
        <f t="shared" si="9"/>
        <v>0</v>
      </c>
      <c r="CW12" s="39">
        <f t="shared" si="9"/>
        <v>0</v>
      </c>
      <c r="CX12" s="39">
        <f t="shared" si="9"/>
        <v>0</v>
      </c>
      <c r="CY12" s="39">
        <f t="shared" si="9"/>
        <v>0</v>
      </c>
      <c r="CZ12" s="39">
        <f t="shared" si="9"/>
        <v>0</v>
      </c>
      <c r="DA12" s="39">
        <f t="shared" si="9"/>
        <v>0</v>
      </c>
      <c r="DB12" s="39">
        <f t="shared" si="9"/>
        <v>0</v>
      </c>
      <c r="DC12" s="39">
        <f t="shared" si="9"/>
        <v>0</v>
      </c>
      <c r="DD12" s="39">
        <f t="shared" si="9"/>
        <v>0</v>
      </c>
      <c r="DE12" s="39">
        <f t="shared" si="9"/>
        <v>0</v>
      </c>
      <c r="DF12" s="39">
        <f t="shared" si="9"/>
        <v>0</v>
      </c>
      <c r="DG12" s="39">
        <f t="shared" si="9"/>
        <v>0</v>
      </c>
      <c r="DH12" s="39">
        <f t="shared" si="9"/>
        <v>0</v>
      </c>
      <c r="DI12" s="39">
        <f t="shared" si="9"/>
        <v>0</v>
      </c>
      <c r="DJ12" s="39">
        <f t="shared" si="9"/>
        <v>0</v>
      </c>
      <c r="DK12" s="39">
        <f t="shared" si="9"/>
        <v>0</v>
      </c>
      <c r="DL12" s="39">
        <f t="shared" si="9"/>
        <v>0</v>
      </c>
      <c r="DM12" s="39">
        <f t="shared" si="9"/>
        <v>0</v>
      </c>
      <c r="DN12" s="39">
        <f t="shared" si="9"/>
        <v>0</v>
      </c>
      <c r="DO12" s="39">
        <f t="shared" si="9"/>
        <v>0</v>
      </c>
      <c r="DP12" s="39">
        <f t="shared" si="9"/>
        <v>0</v>
      </c>
      <c r="DQ12" s="39">
        <f t="shared" si="9"/>
        <v>0</v>
      </c>
      <c r="DR12" s="39">
        <f t="shared" si="9"/>
        <v>0</v>
      </c>
      <c r="DS12" s="39">
        <f t="shared" si="9"/>
        <v>0</v>
      </c>
      <c r="DT12" s="39">
        <f t="shared" si="9"/>
        <v>0</v>
      </c>
      <c r="DU12" s="39">
        <f t="shared" si="9"/>
        <v>0</v>
      </c>
      <c r="DV12" s="39">
        <f t="shared" si="9"/>
        <v>0</v>
      </c>
      <c r="DW12" s="39">
        <f t="shared" si="9"/>
        <v>0</v>
      </c>
      <c r="DX12" s="39">
        <f t="shared" si="9"/>
        <v>0</v>
      </c>
      <c r="DY12" s="39">
        <f t="shared" si="9"/>
        <v>0</v>
      </c>
      <c r="DZ12" s="39">
        <f t="shared" si="9"/>
        <v>0</v>
      </c>
      <c r="EA12" s="39">
        <f t="shared" si="9"/>
        <v>0</v>
      </c>
      <c r="EB12" s="39">
        <f t="shared" si="9"/>
        <v>0</v>
      </c>
      <c r="EC12" s="39">
        <f t="shared" si="9"/>
        <v>0</v>
      </c>
      <c r="ED12" s="39">
        <f t="shared" si="9"/>
        <v>0</v>
      </c>
      <c r="EE12" s="39">
        <f t="shared" si="9"/>
        <v>0</v>
      </c>
      <c r="EF12" s="39">
        <f t="shared" si="9"/>
        <v>0</v>
      </c>
      <c r="EG12" s="39">
        <f t="shared" si="9"/>
        <v>0</v>
      </c>
      <c r="EH12" s="39">
        <f t="shared" si="9"/>
        <v>0</v>
      </c>
      <c r="EI12" s="39">
        <f t="shared" si="9"/>
        <v>0</v>
      </c>
      <c r="EJ12" s="39">
        <f t="shared" si="9"/>
        <v>0</v>
      </c>
      <c r="EK12" s="39">
        <f t="shared" si="9"/>
        <v>0</v>
      </c>
      <c r="EL12" s="17"/>
      <c r="EM12" s="17"/>
      <c r="EN12" s="17"/>
      <c r="EO12" s="17"/>
      <c r="EP12" s="17"/>
      <c r="EQ12" s="17"/>
      <c r="ER12" s="17"/>
      <c r="ES12" s="17"/>
      <c r="ET12" s="17"/>
      <c r="EU12" s="17"/>
    </row>
    <row r="13" spans="1:151" ht="14.5">
      <c r="A13" s="163">
        <v>2</v>
      </c>
      <c r="B13" s="165">
        <f t="shared" ref="B13:B131" si="10">IF(F12&lt;=1,0,PMT($C$7,$B$8,$B$6,,0))</f>
        <v>0</v>
      </c>
      <c r="C13" s="165">
        <f t="shared" si="2"/>
        <v>0</v>
      </c>
      <c r="D13" s="165">
        <f t="shared" si="3"/>
        <v>0</v>
      </c>
      <c r="E13" s="166">
        <f t="shared" ref="E13:E131" si="11">F12</f>
        <v>0</v>
      </c>
      <c r="F13" s="166">
        <f t="shared" si="4"/>
        <v>0</v>
      </c>
      <c r="G13" s="17"/>
      <c r="H13" s="17" t="s">
        <v>311</v>
      </c>
      <c r="I13" s="39">
        <f t="shared" ref="I13:BQ13" si="12">-VLOOKUP(I$11,$A$12:$F$131,4,FALSE)</f>
        <v>0</v>
      </c>
      <c r="J13" s="39">
        <f t="shared" si="12"/>
        <v>0</v>
      </c>
      <c r="K13" s="39">
        <f t="shared" si="12"/>
        <v>0</v>
      </c>
      <c r="L13" s="39">
        <f t="shared" si="12"/>
        <v>0</v>
      </c>
      <c r="M13" s="39">
        <f t="shared" si="12"/>
        <v>0</v>
      </c>
      <c r="N13" s="39">
        <f t="shared" si="12"/>
        <v>0</v>
      </c>
      <c r="O13" s="39">
        <f t="shared" si="12"/>
        <v>0</v>
      </c>
      <c r="P13" s="39">
        <f t="shared" si="12"/>
        <v>0</v>
      </c>
      <c r="Q13" s="39">
        <f t="shared" si="12"/>
        <v>0</v>
      </c>
      <c r="R13" s="39">
        <f t="shared" si="12"/>
        <v>0</v>
      </c>
      <c r="S13" s="39">
        <f t="shared" si="12"/>
        <v>0</v>
      </c>
      <c r="T13" s="39">
        <f t="shared" si="12"/>
        <v>0</v>
      </c>
      <c r="U13" s="39">
        <f t="shared" si="12"/>
        <v>0</v>
      </c>
      <c r="V13" s="39">
        <f t="shared" si="12"/>
        <v>0</v>
      </c>
      <c r="W13" s="39">
        <f t="shared" si="12"/>
        <v>0</v>
      </c>
      <c r="X13" s="39">
        <f t="shared" si="12"/>
        <v>0</v>
      </c>
      <c r="Y13" s="39">
        <f t="shared" si="12"/>
        <v>0</v>
      </c>
      <c r="Z13" s="39">
        <f t="shared" si="12"/>
        <v>0</v>
      </c>
      <c r="AA13" s="39">
        <f t="shared" si="12"/>
        <v>0</v>
      </c>
      <c r="AB13" s="39">
        <f t="shared" si="12"/>
        <v>0</v>
      </c>
      <c r="AC13" s="39">
        <f t="shared" si="12"/>
        <v>0</v>
      </c>
      <c r="AD13" s="39">
        <f t="shared" si="12"/>
        <v>0</v>
      </c>
      <c r="AE13" s="39">
        <f t="shared" si="12"/>
        <v>0</v>
      </c>
      <c r="AF13" s="39">
        <f t="shared" si="12"/>
        <v>0</v>
      </c>
      <c r="AG13" s="39">
        <f t="shared" si="12"/>
        <v>0</v>
      </c>
      <c r="AH13" s="39">
        <f t="shared" si="12"/>
        <v>0</v>
      </c>
      <c r="AI13" s="39">
        <f t="shared" si="12"/>
        <v>0</v>
      </c>
      <c r="AJ13" s="39">
        <f t="shared" si="12"/>
        <v>0</v>
      </c>
      <c r="AK13" s="39">
        <f t="shared" si="12"/>
        <v>0</v>
      </c>
      <c r="AL13" s="39">
        <f t="shared" si="12"/>
        <v>0</v>
      </c>
      <c r="AM13" s="39">
        <f t="shared" si="12"/>
        <v>0</v>
      </c>
      <c r="AN13" s="39">
        <f t="shared" si="12"/>
        <v>0</v>
      </c>
      <c r="AO13" s="39">
        <f t="shared" si="12"/>
        <v>0</v>
      </c>
      <c r="AP13" s="39">
        <f t="shared" si="12"/>
        <v>0</v>
      </c>
      <c r="AQ13" s="39">
        <f t="shared" si="12"/>
        <v>0</v>
      </c>
      <c r="AR13" s="39">
        <f t="shared" si="12"/>
        <v>0</v>
      </c>
      <c r="AS13" s="39">
        <f t="shared" si="12"/>
        <v>0</v>
      </c>
      <c r="AT13" s="39">
        <f t="shared" si="12"/>
        <v>0</v>
      </c>
      <c r="AU13" s="39">
        <f t="shared" si="12"/>
        <v>0</v>
      </c>
      <c r="AV13" s="39">
        <f t="shared" si="12"/>
        <v>0</v>
      </c>
      <c r="AW13" s="39">
        <f t="shared" si="12"/>
        <v>0</v>
      </c>
      <c r="AX13" s="39">
        <f t="shared" si="12"/>
        <v>0</v>
      </c>
      <c r="AY13" s="39">
        <f t="shared" si="12"/>
        <v>0</v>
      </c>
      <c r="AZ13" s="39">
        <f t="shared" si="12"/>
        <v>0</v>
      </c>
      <c r="BA13" s="39">
        <f t="shared" si="12"/>
        <v>0</v>
      </c>
      <c r="BB13" s="39">
        <f t="shared" si="12"/>
        <v>0</v>
      </c>
      <c r="BC13" s="39">
        <f t="shared" si="12"/>
        <v>0</v>
      </c>
      <c r="BD13" s="39">
        <f t="shared" si="12"/>
        <v>0</v>
      </c>
      <c r="BE13" s="39">
        <f t="shared" si="12"/>
        <v>0</v>
      </c>
      <c r="BF13" s="39">
        <f t="shared" si="12"/>
        <v>0</v>
      </c>
      <c r="BG13" s="39">
        <f t="shared" si="12"/>
        <v>0</v>
      </c>
      <c r="BH13" s="39">
        <f t="shared" si="12"/>
        <v>0</v>
      </c>
      <c r="BI13" s="39">
        <f t="shared" si="12"/>
        <v>0</v>
      </c>
      <c r="BJ13" s="39">
        <f t="shared" si="12"/>
        <v>0</v>
      </c>
      <c r="BK13" s="39">
        <f t="shared" si="12"/>
        <v>0</v>
      </c>
      <c r="BL13" s="39">
        <f t="shared" si="12"/>
        <v>0</v>
      </c>
      <c r="BM13" s="39">
        <f t="shared" si="12"/>
        <v>0</v>
      </c>
      <c r="BN13" s="39">
        <f t="shared" si="12"/>
        <v>0</v>
      </c>
      <c r="BO13" s="39">
        <f t="shared" si="12"/>
        <v>0</v>
      </c>
      <c r="BP13" s="39">
        <f t="shared" si="12"/>
        <v>0</v>
      </c>
      <c r="BQ13" s="39">
        <f t="shared" si="12"/>
        <v>0</v>
      </c>
      <c r="BR13" s="17"/>
      <c r="BS13" s="17"/>
      <c r="BT13" s="169"/>
      <c r="BU13" s="163">
        <v>2</v>
      </c>
      <c r="BV13" s="165">
        <f t="shared" ref="BV13:BV131" si="13">IF(BZ12&lt;=1,0,PMT($BV$7,$BU$8,$BU$6,,0))</f>
        <v>0</v>
      </c>
      <c r="BW13" s="165">
        <f t="shared" si="6"/>
        <v>0</v>
      </c>
      <c r="BX13" s="165">
        <f t="shared" si="7"/>
        <v>0</v>
      </c>
      <c r="BY13" s="166">
        <f t="shared" ref="BY13:BY131" si="14">BZ12</f>
        <v>0</v>
      </c>
      <c r="BZ13" s="166">
        <f t="shared" si="8"/>
        <v>0</v>
      </c>
      <c r="CA13" s="17"/>
      <c r="CB13" s="17" t="s">
        <v>311</v>
      </c>
      <c r="CC13" s="39">
        <f>-VLOOKUP(CC$11,$BU$12:$BZ$131,4,FALSE)</f>
        <v>0</v>
      </c>
      <c r="CD13" s="39">
        <f t="shared" ref="CD13:EK13" si="15">-VLOOKUP(CD$11,$BU$12:$BZ$131,4,FALSE)</f>
        <v>0</v>
      </c>
      <c r="CE13" s="39">
        <f t="shared" si="15"/>
        <v>0</v>
      </c>
      <c r="CF13" s="39">
        <f t="shared" si="15"/>
        <v>0</v>
      </c>
      <c r="CG13" s="39">
        <f t="shared" si="15"/>
        <v>0</v>
      </c>
      <c r="CH13" s="39">
        <f t="shared" si="15"/>
        <v>0</v>
      </c>
      <c r="CI13" s="39">
        <f t="shared" si="15"/>
        <v>0</v>
      </c>
      <c r="CJ13" s="39">
        <f t="shared" si="15"/>
        <v>0</v>
      </c>
      <c r="CK13" s="39">
        <f t="shared" si="15"/>
        <v>0</v>
      </c>
      <c r="CL13" s="39">
        <f t="shared" si="15"/>
        <v>0</v>
      </c>
      <c r="CM13" s="39">
        <f t="shared" si="15"/>
        <v>0</v>
      </c>
      <c r="CN13" s="39">
        <f t="shared" si="15"/>
        <v>0</v>
      </c>
      <c r="CO13" s="39">
        <f t="shared" si="15"/>
        <v>0</v>
      </c>
      <c r="CP13" s="39">
        <f t="shared" si="15"/>
        <v>0</v>
      </c>
      <c r="CQ13" s="39">
        <f t="shared" si="15"/>
        <v>0</v>
      </c>
      <c r="CR13" s="39">
        <f t="shared" si="15"/>
        <v>0</v>
      </c>
      <c r="CS13" s="39">
        <f t="shared" si="15"/>
        <v>0</v>
      </c>
      <c r="CT13" s="39">
        <f t="shared" si="15"/>
        <v>0</v>
      </c>
      <c r="CU13" s="39">
        <f t="shared" si="15"/>
        <v>0</v>
      </c>
      <c r="CV13" s="39">
        <f t="shared" si="15"/>
        <v>0</v>
      </c>
      <c r="CW13" s="39">
        <f t="shared" si="15"/>
        <v>0</v>
      </c>
      <c r="CX13" s="39">
        <f t="shared" si="15"/>
        <v>0</v>
      </c>
      <c r="CY13" s="39">
        <f t="shared" si="15"/>
        <v>0</v>
      </c>
      <c r="CZ13" s="39">
        <f t="shared" si="15"/>
        <v>0</v>
      </c>
      <c r="DA13" s="39">
        <f t="shared" si="15"/>
        <v>0</v>
      </c>
      <c r="DB13" s="39">
        <f t="shared" si="15"/>
        <v>0</v>
      </c>
      <c r="DC13" s="39">
        <f t="shared" si="15"/>
        <v>0</v>
      </c>
      <c r="DD13" s="39">
        <f t="shared" si="15"/>
        <v>0</v>
      </c>
      <c r="DE13" s="39">
        <f t="shared" si="15"/>
        <v>0</v>
      </c>
      <c r="DF13" s="39">
        <f t="shared" si="15"/>
        <v>0</v>
      </c>
      <c r="DG13" s="39">
        <f t="shared" si="15"/>
        <v>0</v>
      </c>
      <c r="DH13" s="39">
        <f t="shared" si="15"/>
        <v>0</v>
      </c>
      <c r="DI13" s="39">
        <f t="shared" si="15"/>
        <v>0</v>
      </c>
      <c r="DJ13" s="39">
        <f t="shared" si="15"/>
        <v>0</v>
      </c>
      <c r="DK13" s="39">
        <f t="shared" si="15"/>
        <v>0</v>
      </c>
      <c r="DL13" s="39">
        <f t="shared" si="15"/>
        <v>0</v>
      </c>
      <c r="DM13" s="39">
        <f t="shared" si="15"/>
        <v>0</v>
      </c>
      <c r="DN13" s="39">
        <f t="shared" si="15"/>
        <v>0</v>
      </c>
      <c r="DO13" s="39">
        <f t="shared" si="15"/>
        <v>0</v>
      </c>
      <c r="DP13" s="39">
        <f t="shared" si="15"/>
        <v>0</v>
      </c>
      <c r="DQ13" s="39">
        <f t="shared" si="15"/>
        <v>0</v>
      </c>
      <c r="DR13" s="39">
        <f t="shared" si="15"/>
        <v>0</v>
      </c>
      <c r="DS13" s="39">
        <f t="shared" si="15"/>
        <v>0</v>
      </c>
      <c r="DT13" s="39">
        <f t="shared" si="15"/>
        <v>0</v>
      </c>
      <c r="DU13" s="39">
        <f t="shared" si="15"/>
        <v>0</v>
      </c>
      <c r="DV13" s="39">
        <f t="shared" si="15"/>
        <v>0</v>
      </c>
      <c r="DW13" s="39">
        <f t="shared" si="15"/>
        <v>0</v>
      </c>
      <c r="DX13" s="39">
        <f t="shared" si="15"/>
        <v>0</v>
      </c>
      <c r="DY13" s="39">
        <f t="shared" si="15"/>
        <v>0</v>
      </c>
      <c r="DZ13" s="39">
        <f t="shared" si="15"/>
        <v>0</v>
      </c>
      <c r="EA13" s="39">
        <f t="shared" si="15"/>
        <v>0</v>
      </c>
      <c r="EB13" s="39">
        <f t="shared" si="15"/>
        <v>0</v>
      </c>
      <c r="EC13" s="39">
        <f t="shared" si="15"/>
        <v>0</v>
      </c>
      <c r="ED13" s="39">
        <f t="shared" si="15"/>
        <v>0</v>
      </c>
      <c r="EE13" s="39">
        <f t="shared" si="15"/>
        <v>0</v>
      </c>
      <c r="EF13" s="39">
        <f t="shared" si="15"/>
        <v>0</v>
      </c>
      <c r="EG13" s="39">
        <f t="shared" si="15"/>
        <v>0</v>
      </c>
      <c r="EH13" s="39">
        <f t="shared" si="15"/>
        <v>0</v>
      </c>
      <c r="EI13" s="39">
        <f t="shared" si="15"/>
        <v>0</v>
      </c>
      <c r="EJ13" s="39">
        <f t="shared" si="15"/>
        <v>0</v>
      </c>
      <c r="EK13" s="39">
        <f t="shared" si="15"/>
        <v>0</v>
      </c>
      <c r="EL13" s="17"/>
      <c r="EM13" s="17"/>
      <c r="EN13" s="17"/>
      <c r="EO13" s="17"/>
      <c r="EP13" s="17"/>
      <c r="EQ13" s="17"/>
      <c r="ER13" s="17"/>
      <c r="ES13" s="17"/>
      <c r="ET13" s="17"/>
      <c r="EU13" s="17"/>
    </row>
    <row r="14" spans="1:151" ht="14.5">
      <c r="A14" s="163">
        <v>3</v>
      </c>
      <c r="B14" s="165">
        <f t="shared" si="10"/>
        <v>0</v>
      </c>
      <c r="C14" s="165">
        <f t="shared" si="2"/>
        <v>0</v>
      </c>
      <c r="D14" s="165">
        <f t="shared" si="3"/>
        <v>0</v>
      </c>
      <c r="E14" s="166">
        <f t="shared" si="11"/>
        <v>0</v>
      </c>
      <c r="F14" s="166">
        <f t="shared" si="4"/>
        <v>0</v>
      </c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69"/>
      <c r="BU14" s="163">
        <v>3</v>
      </c>
      <c r="BV14" s="165">
        <f t="shared" si="13"/>
        <v>0</v>
      </c>
      <c r="BW14" s="165">
        <f t="shared" si="6"/>
        <v>0</v>
      </c>
      <c r="BX14" s="165">
        <f t="shared" si="7"/>
        <v>0</v>
      </c>
      <c r="BY14" s="166">
        <f t="shared" si="14"/>
        <v>0</v>
      </c>
      <c r="BZ14" s="166">
        <f t="shared" si="8"/>
        <v>0</v>
      </c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</row>
    <row r="15" spans="1:151" ht="14.5">
      <c r="A15" s="163">
        <v>4</v>
      </c>
      <c r="B15" s="165">
        <f t="shared" si="10"/>
        <v>0</v>
      </c>
      <c r="C15" s="165">
        <f t="shared" si="2"/>
        <v>0</v>
      </c>
      <c r="D15" s="165">
        <f t="shared" si="3"/>
        <v>0</v>
      </c>
      <c r="E15" s="166">
        <f t="shared" si="11"/>
        <v>0</v>
      </c>
      <c r="F15" s="166">
        <f t="shared" si="4"/>
        <v>0</v>
      </c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69"/>
      <c r="BU15" s="163">
        <v>4</v>
      </c>
      <c r="BV15" s="165">
        <f t="shared" si="13"/>
        <v>0</v>
      </c>
      <c r="BW15" s="165">
        <f t="shared" si="6"/>
        <v>0</v>
      </c>
      <c r="BX15" s="165">
        <f t="shared" si="7"/>
        <v>0</v>
      </c>
      <c r="BY15" s="166">
        <f t="shared" si="14"/>
        <v>0</v>
      </c>
      <c r="BZ15" s="166">
        <f t="shared" si="8"/>
        <v>0</v>
      </c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</row>
    <row r="16" spans="1:151" ht="14.5">
      <c r="A16" s="163">
        <v>5</v>
      </c>
      <c r="B16" s="165">
        <f t="shared" si="10"/>
        <v>0</v>
      </c>
      <c r="C16" s="165">
        <f t="shared" si="2"/>
        <v>0</v>
      </c>
      <c r="D16" s="165">
        <f t="shared" si="3"/>
        <v>0</v>
      </c>
      <c r="E16" s="166">
        <f t="shared" si="11"/>
        <v>0</v>
      </c>
      <c r="F16" s="166">
        <f t="shared" si="4"/>
        <v>0</v>
      </c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69"/>
      <c r="BU16" s="163">
        <v>5</v>
      </c>
      <c r="BV16" s="165">
        <f t="shared" si="13"/>
        <v>0</v>
      </c>
      <c r="BW16" s="165">
        <f t="shared" si="6"/>
        <v>0</v>
      </c>
      <c r="BX16" s="165">
        <f t="shared" si="7"/>
        <v>0</v>
      </c>
      <c r="BY16" s="166">
        <f t="shared" si="14"/>
        <v>0</v>
      </c>
      <c r="BZ16" s="166">
        <f t="shared" si="8"/>
        <v>0</v>
      </c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</row>
    <row r="17" spans="1:151" ht="14.5">
      <c r="A17" s="163">
        <v>6</v>
      </c>
      <c r="B17" s="165">
        <f t="shared" si="10"/>
        <v>0</v>
      </c>
      <c r="C17" s="165">
        <f t="shared" si="2"/>
        <v>0</v>
      </c>
      <c r="D17" s="165">
        <f t="shared" si="3"/>
        <v>0</v>
      </c>
      <c r="E17" s="166">
        <f t="shared" si="11"/>
        <v>0</v>
      </c>
      <c r="F17" s="166">
        <f t="shared" si="4"/>
        <v>0</v>
      </c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69"/>
      <c r="BU17" s="163">
        <v>6</v>
      </c>
      <c r="BV17" s="165">
        <f t="shared" si="13"/>
        <v>0</v>
      </c>
      <c r="BW17" s="165">
        <f t="shared" si="6"/>
        <v>0</v>
      </c>
      <c r="BX17" s="165">
        <f t="shared" si="7"/>
        <v>0</v>
      </c>
      <c r="BY17" s="166">
        <f t="shared" si="14"/>
        <v>0</v>
      </c>
      <c r="BZ17" s="166">
        <f t="shared" si="8"/>
        <v>0</v>
      </c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</row>
    <row r="18" spans="1:151" ht="14.5">
      <c r="A18" s="163">
        <v>7</v>
      </c>
      <c r="B18" s="165">
        <f t="shared" si="10"/>
        <v>0</v>
      </c>
      <c r="C18" s="165">
        <f t="shared" si="2"/>
        <v>0</v>
      </c>
      <c r="D18" s="165">
        <f t="shared" si="3"/>
        <v>0</v>
      </c>
      <c r="E18" s="166">
        <f t="shared" si="11"/>
        <v>0</v>
      </c>
      <c r="F18" s="166">
        <f t="shared" si="4"/>
        <v>0</v>
      </c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69"/>
      <c r="BU18" s="163">
        <v>7</v>
      </c>
      <c r="BV18" s="165">
        <f t="shared" si="13"/>
        <v>0</v>
      </c>
      <c r="BW18" s="165">
        <f t="shared" si="6"/>
        <v>0</v>
      </c>
      <c r="BX18" s="165">
        <f t="shared" si="7"/>
        <v>0</v>
      </c>
      <c r="BY18" s="166">
        <f t="shared" si="14"/>
        <v>0</v>
      </c>
      <c r="BZ18" s="166">
        <f t="shared" si="8"/>
        <v>0</v>
      </c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</row>
    <row r="19" spans="1:151" ht="14.5">
      <c r="A19" s="163">
        <v>8</v>
      </c>
      <c r="B19" s="165">
        <f t="shared" si="10"/>
        <v>0</v>
      </c>
      <c r="C19" s="165">
        <f t="shared" si="2"/>
        <v>0</v>
      </c>
      <c r="D19" s="165">
        <f t="shared" si="3"/>
        <v>0</v>
      </c>
      <c r="E19" s="166">
        <f t="shared" si="11"/>
        <v>0</v>
      </c>
      <c r="F19" s="166">
        <f t="shared" si="4"/>
        <v>0</v>
      </c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69"/>
      <c r="BU19" s="163">
        <v>8</v>
      </c>
      <c r="BV19" s="165">
        <f t="shared" si="13"/>
        <v>0</v>
      </c>
      <c r="BW19" s="165">
        <f t="shared" si="6"/>
        <v>0</v>
      </c>
      <c r="BX19" s="165">
        <f t="shared" si="7"/>
        <v>0</v>
      </c>
      <c r="BY19" s="166">
        <f t="shared" si="14"/>
        <v>0</v>
      </c>
      <c r="BZ19" s="166">
        <f t="shared" si="8"/>
        <v>0</v>
      </c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</row>
    <row r="20" spans="1:151" ht="14.5">
      <c r="A20" s="163">
        <v>9</v>
      </c>
      <c r="B20" s="165">
        <f t="shared" si="10"/>
        <v>0</v>
      </c>
      <c r="C20" s="165">
        <f t="shared" si="2"/>
        <v>0</v>
      </c>
      <c r="D20" s="165">
        <f t="shared" si="3"/>
        <v>0</v>
      </c>
      <c r="E20" s="166">
        <f t="shared" si="11"/>
        <v>0</v>
      </c>
      <c r="F20" s="166">
        <f t="shared" si="4"/>
        <v>0</v>
      </c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69"/>
      <c r="BU20" s="163">
        <v>9</v>
      </c>
      <c r="BV20" s="165">
        <f t="shared" si="13"/>
        <v>0</v>
      </c>
      <c r="BW20" s="165">
        <f t="shared" si="6"/>
        <v>0</v>
      </c>
      <c r="BX20" s="165">
        <f t="shared" si="7"/>
        <v>0</v>
      </c>
      <c r="BY20" s="166">
        <f t="shared" si="14"/>
        <v>0</v>
      </c>
      <c r="BZ20" s="166">
        <f t="shared" si="8"/>
        <v>0</v>
      </c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</row>
    <row r="21" spans="1:151" ht="16.5" customHeight="1">
      <c r="A21" s="163">
        <v>10</v>
      </c>
      <c r="B21" s="165">
        <f t="shared" si="10"/>
        <v>0</v>
      </c>
      <c r="C21" s="165">
        <f t="shared" si="2"/>
        <v>0</v>
      </c>
      <c r="D21" s="165">
        <f t="shared" si="3"/>
        <v>0</v>
      </c>
      <c r="E21" s="166">
        <f t="shared" si="11"/>
        <v>0</v>
      </c>
      <c r="F21" s="166">
        <f t="shared" si="4"/>
        <v>0</v>
      </c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69"/>
      <c r="BU21" s="163">
        <v>10</v>
      </c>
      <c r="BV21" s="165">
        <f t="shared" si="13"/>
        <v>0</v>
      </c>
      <c r="BW21" s="165">
        <f t="shared" si="6"/>
        <v>0</v>
      </c>
      <c r="BX21" s="165">
        <f t="shared" si="7"/>
        <v>0</v>
      </c>
      <c r="BY21" s="166">
        <f t="shared" si="14"/>
        <v>0</v>
      </c>
      <c r="BZ21" s="166">
        <f t="shared" si="8"/>
        <v>0</v>
      </c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</row>
    <row r="22" spans="1:151" ht="15.75" customHeight="1">
      <c r="A22" s="163">
        <v>11</v>
      </c>
      <c r="B22" s="165">
        <f t="shared" si="10"/>
        <v>0</v>
      </c>
      <c r="C22" s="165">
        <f t="shared" si="2"/>
        <v>0</v>
      </c>
      <c r="D22" s="165">
        <f t="shared" si="3"/>
        <v>0</v>
      </c>
      <c r="E22" s="166">
        <f t="shared" si="11"/>
        <v>0</v>
      </c>
      <c r="F22" s="166">
        <f t="shared" si="4"/>
        <v>0</v>
      </c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69"/>
      <c r="BU22" s="163">
        <v>11</v>
      </c>
      <c r="BV22" s="165">
        <f t="shared" si="13"/>
        <v>0</v>
      </c>
      <c r="BW22" s="165">
        <f t="shared" si="6"/>
        <v>0</v>
      </c>
      <c r="BX22" s="165">
        <f t="shared" si="7"/>
        <v>0</v>
      </c>
      <c r="BY22" s="166">
        <f t="shared" si="14"/>
        <v>0</v>
      </c>
      <c r="BZ22" s="166">
        <f t="shared" si="8"/>
        <v>0</v>
      </c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</row>
    <row r="23" spans="1:151" ht="15.75" customHeight="1">
      <c r="A23" s="163">
        <v>12</v>
      </c>
      <c r="B23" s="165">
        <f t="shared" si="10"/>
        <v>0</v>
      </c>
      <c r="C23" s="165">
        <f t="shared" si="2"/>
        <v>0</v>
      </c>
      <c r="D23" s="165">
        <f t="shared" si="3"/>
        <v>0</v>
      </c>
      <c r="E23" s="166">
        <f t="shared" si="11"/>
        <v>0</v>
      </c>
      <c r="F23" s="166">
        <f t="shared" si="4"/>
        <v>0</v>
      </c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69"/>
      <c r="BU23" s="163">
        <v>12</v>
      </c>
      <c r="BV23" s="165">
        <f t="shared" si="13"/>
        <v>0</v>
      </c>
      <c r="BW23" s="165">
        <f t="shared" si="6"/>
        <v>0</v>
      </c>
      <c r="BX23" s="165">
        <f t="shared" si="7"/>
        <v>0</v>
      </c>
      <c r="BY23" s="166">
        <f t="shared" si="14"/>
        <v>0</v>
      </c>
      <c r="BZ23" s="166">
        <f t="shared" si="8"/>
        <v>0</v>
      </c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</row>
    <row r="24" spans="1:151" ht="15.75" customHeight="1">
      <c r="A24" s="163">
        <v>13</v>
      </c>
      <c r="B24" s="165">
        <f t="shared" si="10"/>
        <v>0</v>
      </c>
      <c r="C24" s="165">
        <f t="shared" si="2"/>
        <v>0</v>
      </c>
      <c r="D24" s="165">
        <f t="shared" si="3"/>
        <v>0</v>
      </c>
      <c r="E24" s="166">
        <f t="shared" si="11"/>
        <v>0</v>
      </c>
      <c r="F24" s="166">
        <f t="shared" si="4"/>
        <v>0</v>
      </c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69"/>
      <c r="BU24" s="163">
        <v>13</v>
      </c>
      <c r="BV24" s="165">
        <f t="shared" si="13"/>
        <v>0</v>
      </c>
      <c r="BW24" s="165">
        <f t="shared" si="6"/>
        <v>0</v>
      </c>
      <c r="BX24" s="165">
        <f t="shared" si="7"/>
        <v>0</v>
      </c>
      <c r="BY24" s="166">
        <f t="shared" si="14"/>
        <v>0</v>
      </c>
      <c r="BZ24" s="166">
        <f t="shared" si="8"/>
        <v>0</v>
      </c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</row>
    <row r="25" spans="1:151" ht="15.75" customHeight="1">
      <c r="A25" s="163">
        <v>14</v>
      </c>
      <c r="B25" s="165">
        <f t="shared" si="10"/>
        <v>0</v>
      </c>
      <c r="C25" s="165">
        <f t="shared" si="2"/>
        <v>0</v>
      </c>
      <c r="D25" s="165">
        <f t="shared" si="3"/>
        <v>0</v>
      </c>
      <c r="E25" s="166">
        <f t="shared" si="11"/>
        <v>0</v>
      </c>
      <c r="F25" s="166">
        <f t="shared" si="4"/>
        <v>0</v>
      </c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69"/>
      <c r="BU25" s="163">
        <v>14</v>
      </c>
      <c r="BV25" s="165">
        <f t="shared" si="13"/>
        <v>0</v>
      </c>
      <c r="BW25" s="165">
        <f t="shared" si="6"/>
        <v>0</v>
      </c>
      <c r="BX25" s="165">
        <f t="shared" si="7"/>
        <v>0</v>
      </c>
      <c r="BY25" s="166">
        <f t="shared" si="14"/>
        <v>0</v>
      </c>
      <c r="BZ25" s="166">
        <f t="shared" si="8"/>
        <v>0</v>
      </c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</row>
    <row r="26" spans="1:151" ht="15.75" customHeight="1">
      <c r="A26" s="163">
        <v>15</v>
      </c>
      <c r="B26" s="165">
        <f t="shared" si="10"/>
        <v>0</v>
      </c>
      <c r="C26" s="165">
        <f t="shared" si="2"/>
        <v>0</v>
      </c>
      <c r="D26" s="165">
        <f t="shared" si="3"/>
        <v>0</v>
      </c>
      <c r="E26" s="166">
        <f t="shared" si="11"/>
        <v>0</v>
      </c>
      <c r="F26" s="166">
        <f t="shared" si="4"/>
        <v>0</v>
      </c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69"/>
      <c r="BU26" s="163">
        <v>15</v>
      </c>
      <c r="BV26" s="165">
        <f t="shared" si="13"/>
        <v>0</v>
      </c>
      <c r="BW26" s="165">
        <f t="shared" si="6"/>
        <v>0</v>
      </c>
      <c r="BX26" s="165">
        <f t="shared" si="7"/>
        <v>0</v>
      </c>
      <c r="BY26" s="166">
        <f t="shared" si="14"/>
        <v>0</v>
      </c>
      <c r="BZ26" s="166">
        <f t="shared" si="8"/>
        <v>0</v>
      </c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</row>
    <row r="27" spans="1:151" ht="15.75" customHeight="1">
      <c r="A27" s="163">
        <v>16</v>
      </c>
      <c r="B27" s="165">
        <f t="shared" si="10"/>
        <v>0</v>
      </c>
      <c r="C27" s="165">
        <f t="shared" si="2"/>
        <v>0</v>
      </c>
      <c r="D27" s="165">
        <f t="shared" si="3"/>
        <v>0</v>
      </c>
      <c r="E27" s="166">
        <f t="shared" si="11"/>
        <v>0</v>
      </c>
      <c r="F27" s="166">
        <f t="shared" si="4"/>
        <v>0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69"/>
      <c r="BU27" s="163">
        <v>16</v>
      </c>
      <c r="BV27" s="165">
        <f t="shared" si="13"/>
        <v>0</v>
      </c>
      <c r="BW27" s="165">
        <f t="shared" si="6"/>
        <v>0</v>
      </c>
      <c r="BX27" s="165">
        <f t="shared" si="7"/>
        <v>0</v>
      </c>
      <c r="BY27" s="166">
        <f t="shared" si="14"/>
        <v>0</v>
      </c>
      <c r="BZ27" s="166">
        <f t="shared" si="8"/>
        <v>0</v>
      </c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</row>
    <row r="28" spans="1:151" ht="15.75" customHeight="1">
      <c r="A28" s="163">
        <v>17</v>
      </c>
      <c r="B28" s="165">
        <f t="shared" si="10"/>
        <v>0</v>
      </c>
      <c r="C28" s="165">
        <f t="shared" si="2"/>
        <v>0</v>
      </c>
      <c r="D28" s="165">
        <f t="shared" si="3"/>
        <v>0</v>
      </c>
      <c r="E28" s="166">
        <f t="shared" si="11"/>
        <v>0</v>
      </c>
      <c r="F28" s="166">
        <f t="shared" si="4"/>
        <v>0</v>
      </c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69"/>
      <c r="BU28" s="163">
        <v>17</v>
      </c>
      <c r="BV28" s="165">
        <f t="shared" si="13"/>
        <v>0</v>
      </c>
      <c r="BW28" s="165">
        <f t="shared" si="6"/>
        <v>0</v>
      </c>
      <c r="BX28" s="165">
        <f t="shared" si="7"/>
        <v>0</v>
      </c>
      <c r="BY28" s="166">
        <f t="shared" si="14"/>
        <v>0</v>
      </c>
      <c r="BZ28" s="166">
        <f t="shared" si="8"/>
        <v>0</v>
      </c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</row>
    <row r="29" spans="1:151" ht="15.75" customHeight="1">
      <c r="A29" s="163">
        <v>18</v>
      </c>
      <c r="B29" s="165">
        <f t="shared" si="10"/>
        <v>0</v>
      </c>
      <c r="C29" s="165">
        <f t="shared" si="2"/>
        <v>0</v>
      </c>
      <c r="D29" s="165">
        <f t="shared" si="3"/>
        <v>0</v>
      </c>
      <c r="E29" s="166">
        <f t="shared" si="11"/>
        <v>0</v>
      </c>
      <c r="F29" s="166">
        <f t="shared" si="4"/>
        <v>0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69"/>
      <c r="BU29" s="163">
        <v>18</v>
      </c>
      <c r="BV29" s="165">
        <f t="shared" si="13"/>
        <v>0</v>
      </c>
      <c r="BW29" s="165">
        <f t="shared" si="6"/>
        <v>0</v>
      </c>
      <c r="BX29" s="165">
        <f t="shared" si="7"/>
        <v>0</v>
      </c>
      <c r="BY29" s="166">
        <f t="shared" si="14"/>
        <v>0</v>
      </c>
      <c r="BZ29" s="166">
        <f t="shared" si="8"/>
        <v>0</v>
      </c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</row>
    <row r="30" spans="1:151" ht="15.75" customHeight="1">
      <c r="A30" s="163">
        <v>19</v>
      </c>
      <c r="B30" s="165">
        <f t="shared" si="10"/>
        <v>0</v>
      </c>
      <c r="C30" s="165">
        <f t="shared" si="2"/>
        <v>0</v>
      </c>
      <c r="D30" s="165">
        <f t="shared" si="3"/>
        <v>0</v>
      </c>
      <c r="E30" s="166">
        <f t="shared" si="11"/>
        <v>0</v>
      </c>
      <c r="F30" s="166">
        <f t="shared" si="4"/>
        <v>0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69"/>
      <c r="BU30" s="163">
        <v>19</v>
      </c>
      <c r="BV30" s="165">
        <f t="shared" si="13"/>
        <v>0</v>
      </c>
      <c r="BW30" s="165">
        <f t="shared" si="6"/>
        <v>0</v>
      </c>
      <c r="BX30" s="165">
        <f t="shared" si="7"/>
        <v>0</v>
      </c>
      <c r="BY30" s="166">
        <f t="shared" si="14"/>
        <v>0</v>
      </c>
      <c r="BZ30" s="166">
        <f t="shared" si="8"/>
        <v>0</v>
      </c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</row>
    <row r="31" spans="1:151" ht="15.75" customHeight="1">
      <c r="A31" s="163">
        <v>20</v>
      </c>
      <c r="B31" s="165">
        <f t="shared" si="10"/>
        <v>0</v>
      </c>
      <c r="C31" s="165">
        <f t="shared" si="2"/>
        <v>0</v>
      </c>
      <c r="D31" s="165">
        <f t="shared" si="3"/>
        <v>0</v>
      </c>
      <c r="E31" s="166">
        <f t="shared" si="11"/>
        <v>0</v>
      </c>
      <c r="F31" s="166">
        <f t="shared" si="4"/>
        <v>0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69"/>
      <c r="BU31" s="163">
        <v>20</v>
      </c>
      <c r="BV31" s="165">
        <f t="shared" si="13"/>
        <v>0</v>
      </c>
      <c r="BW31" s="165">
        <f t="shared" si="6"/>
        <v>0</v>
      </c>
      <c r="BX31" s="165">
        <f t="shared" si="7"/>
        <v>0</v>
      </c>
      <c r="BY31" s="166">
        <f t="shared" si="14"/>
        <v>0</v>
      </c>
      <c r="BZ31" s="166">
        <f t="shared" si="8"/>
        <v>0</v>
      </c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</row>
    <row r="32" spans="1:151" ht="15.75" customHeight="1">
      <c r="A32" s="163">
        <v>21</v>
      </c>
      <c r="B32" s="165">
        <f t="shared" si="10"/>
        <v>0</v>
      </c>
      <c r="C32" s="165">
        <f t="shared" si="2"/>
        <v>0</v>
      </c>
      <c r="D32" s="165">
        <f t="shared" si="3"/>
        <v>0</v>
      </c>
      <c r="E32" s="166">
        <f t="shared" si="11"/>
        <v>0</v>
      </c>
      <c r="F32" s="166">
        <f t="shared" si="4"/>
        <v>0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69"/>
      <c r="BU32" s="163">
        <v>21</v>
      </c>
      <c r="BV32" s="165">
        <f t="shared" si="13"/>
        <v>0</v>
      </c>
      <c r="BW32" s="165">
        <f t="shared" si="6"/>
        <v>0</v>
      </c>
      <c r="BX32" s="165">
        <f t="shared" si="7"/>
        <v>0</v>
      </c>
      <c r="BY32" s="166">
        <f t="shared" si="14"/>
        <v>0</v>
      </c>
      <c r="BZ32" s="166">
        <f t="shared" si="8"/>
        <v>0</v>
      </c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</row>
    <row r="33" spans="1:151" ht="15.75" customHeight="1">
      <c r="A33" s="163">
        <v>22</v>
      </c>
      <c r="B33" s="165">
        <f t="shared" si="10"/>
        <v>0</v>
      </c>
      <c r="C33" s="165">
        <f t="shared" si="2"/>
        <v>0</v>
      </c>
      <c r="D33" s="165">
        <f t="shared" si="3"/>
        <v>0</v>
      </c>
      <c r="E33" s="166">
        <f t="shared" si="11"/>
        <v>0</v>
      </c>
      <c r="F33" s="166">
        <f t="shared" si="4"/>
        <v>0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69"/>
      <c r="BU33" s="163">
        <v>22</v>
      </c>
      <c r="BV33" s="165">
        <f t="shared" si="13"/>
        <v>0</v>
      </c>
      <c r="BW33" s="165">
        <f t="shared" si="6"/>
        <v>0</v>
      </c>
      <c r="BX33" s="165">
        <f t="shared" si="7"/>
        <v>0</v>
      </c>
      <c r="BY33" s="166">
        <f t="shared" si="14"/>
        <v>0</v>
      </c>
      <c r="BZ33" s="166">
        <f t="shared" si="8"/>
        <v>0</v>
      </c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</row>
    <row r="34" spans="1:151" ht="15.75" customHeight="1">
      <c r="A34" s="163">
        <v>23</v>
      </c>
      <c r="B34" s="165">
        <f t="shared" si="10"/>
        <v>0</v>
      </c>
      <c r="C34" s="165">
        <f t="shared" si="2"/>
        <v>0</v>
      </c>
      <c r="D34" s="165">
        <f t="shared" si="3"/>
        <v>0</v>
      </c>
      <c r="E34" s="166">
        <f t="shared" si="11"/>
        <v>0</v>
      </c>
      <c r="F34" s="166">
        <f t="shared" si="4"/>
        <v>0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69"/>
      <c r="BU34" s="163">
        <v>23</v>
      </c>
      <c r="BV34" s="165">
        <f t="shared" si="13"/>
        <v>0</v>
      </c>
      <c r="BW34" s="165">
        <f t="shared" si="6"/>
        <v>0</v>
      </c>
      <c r="BX34" s="165">
        <f t="shared" si="7"/>
        <v>0</v>
      </c>
      <c r="BY34" s="166">
        <f t="shared" si="14"/>
        <v>0</v>
      </c>
      <c r="BZ34" s="166">
        <f t="shared" si="8"/>
        <v>0</v>
      </c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</row>
    <row r="35" spans="1:151" ht="15.75" customHeight="1">
      <c r="A35" s="163">
        <v>24</v>
      </c>
      <c r="B35" s="165">
        <f t="shared" si="10"/>
        <v>0</v>
      </c>
      <c r="C35" s="165">
        <f t="shared" si="2"/>
        <v>0</v>
      </c>
      <c r="D35" s="165">
        <f t="shared" si="3"/>
        <v>0</v>
      </c>
      <c r="E35" s="166">
        <f t="shared" si="11"/>
        <v>0</v>
      </c>
      <c r="F35" s="166">
        <f t="shared" si="4"/>
        <v>0</v>
      </c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69"/>
      <c r="BU35" s="163">
        <v>24</v>
      </c>
      <c r="BV35" s="165">
        <f t="shared" si="13"/>
        <v>0</v>
      </c>
      <c r="BW35" s="165">
        <f t="shared" si="6"/>
        <v>0</v>
      </c>
      <c r="BX35" s="165">
        <f t="shared" si="7"/>
        <v>0</v>
      </c>
      <c r="BY35" s="166">
        <f t="shared" si="14"/>
        <v>0</v>
      </c>
      <c r="BZ35" s="166">
        <f t="shared" si="8"/>
        <v>0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</row>
    <row r="36" spans="1:151" ht="15.75" customHeight="1">
      <c r="A36" s="163">
        <v>25</v>
      </c>
      <c r="B36" s="165">
        <f t="shared" si="10"/>
        <v>0</v>
      </c>
      <c r="C36" s="165">
        <f t="shared" si="2"/>
        <v>0</v>
      </c>
      <c r="D36" s="165">
        <f t="shared" si="3"/>
        <v>0</v>
      </c>
      <c r="E36" s="166">
        <f t="shared" si="11"/>
        <v>0</v>
      </c>
      <c r="F36" s="166">
        <f t="shared" si="4"/>
        <v>0</v>
      </c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69"/>
      <c r="BU36" s="163">
        <v>25</v>
      </c>
      <c r="BV36" s="165">
        <f t="shared" si="13"/>
        <v>0</v>
      </c>
      <c r="BW36" s="165">
        <f t="shared" si="6"/>
        <v>0</v>
      </c>
      <c r="BX36" s="165">
        <f t="shared" si="7"/>
        <v>0</v>
      </c>
      <c r="BY36" s="166">
        <f t="shared" si="14"/>
        <v>0</v>
      </c>
      <c r="BZ36" s="166">
        <f t="shared" si="8"/>
        <v>0</v>
      </c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</row>
    <row r="37" spans="1:151" ht="15.75" customHeight="1">
      <c r="A37" s="163">
        <v>26</v>
      </c>
      <c r="B37" s="165">
        <f t="shared" si="10"/>
        <v>0</v>
      </c>
      <c r="C37" s="165">
        <f t="shared" si="2"/>
        <v>0</v>
      </c>
      <c r="D37" s="165">
        <f t="shared" si="3"/>
        <v>0</v>
      </c>
      <c r="E37" s="166">
        <f t="shared" si="11"/>
        <v>0</v>
      </c>
      <c r="F37" s="166">
        <f t="shared" si="4"/>
        <v>0</v>
      </c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69"/>
      <c r="BU37" s="163">
        <v>26</v>
      </c>
      <c r="BV37" s="165">
        <f t="shared" si="13"/>
        <v>0</v>
      </c>
      <c r="BW37" s="165">
        <f t="shared" si="6"/>
        <v>0</v>
      </c>
      <c r="BX37" s="165">
        <f t="shared" si="7"/>
        <v>0</v>
      </c>
      <c r="BY37" s="166">
        <f t="shared" si="14"/>
        <v>0</v>
      </c>
      <c r="BZ37" s="166">
        <f t="shared" si="8"/>
        <v>0</v>
      </c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</row>
    <row r="38" spans="1:151" ht="15.75" customHeight="1">
      <c r="A38" s="163">
        <v>27</v>
      </c>
      <c r="B38" s="165">
        <f t="shared" si="10"/>
        <v>0</v>
      </c>
      <c r="C38" s="165">
        <f t="shared" si="2"/>
        <v>0</v>
      </c>
      <c r="D38" s="165">
        <f t="shared" si="3"/>
        <v>0</v>
      </c>
      <c r="E38" s="166">
        <f t="shared" si="11"/>
        <v>0</v>
      </c>
      <c r="F38" s="166">
        <f t="shared" si="4"/>
        <v>0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69"/>
      <c r="BU38" s="163">
        <v>27</v>
      </c>
      <c r="BV38" s="165">
        <f t="shared" si="13"/>
        <v>0</v>
      </c>
      <c r="BW38" s="165">
        <f t="shared" si="6"/>
        <v>0</v>
      </c>
      <c r="BX38" s="165">
        <f t="shared" si="7"/>
        <v>0</v>
      </c>
      <c r="BY38" s="166">
        <f t="shared" si="14"/>
        <v>0</v>
      </c>
      <c r="BZ38" s="166">
        <f t="shared" si="8"/>
        <v>0</v>
      </c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</row>
    <row r="39" spans="1:151" ht="15.75" customHeight="1">
      <c r="A39" s="163">
        <v>28</v>
      </c>
      <c r="B39" s="165">
        <f t="shared" si="10"/>
        <v>0</v>
      </c>
      <c r="C39" s="165">
        <f t="shared" si="2"/>
        <v>0</v>
      </c>
      <c r="D39" s="165">
        <f t="shared" si="3"/>
        <v>0</v>
      </c>
      <c r="E39" s="166">
        <f t="shared" si="11"/>
        <v>0</v>
      </c>
      <c r="F39" s="166">
        <f t="shared" si="4"/>
        <v>0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69"/>
      <c r="BU39" s="163">
        <v>28</v>
      </c>
      <c r="BV39" s="165">
        <f t="shared" si="13"/>
        <v>0</v>
      </c>
      <c r="BW39" s="165">
        <f t="shared" si="6"/>
        <v>0</v>
      </c>
      <c r="BX39" s="165">
        <f t="shared" si="7"/>
        <v>0</v>
      </c>
      <c r="BY39" s="166">
        <f t="shared" si="14"/>
        <v>0</v>
      </c>
      <c r="BZ39" s="166">
        <f t="shared" si="8"/>
        <v>0</v>
      </c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</row>
    <row r="40" spans="1:151" ht="15.75" customHeight="1">
      <c r="A40" s="163">
        <v>29</v>
      </c>
      <c r="B40" s="165">
        <f t="shared" si="10"/>
        <v>0</v>
      </c>
      <c r="C40" s="165">
        <f t="shared" si="2"/>
        <v>0</v>
      </c>
      <c r="D40" s="165">
        <f t="shared" si="3"/>
        <v>0</v>
      </c>
      <c r="E40" s="166">
        <f t="shared" si="11"/>
        <v>0</v>
      </c>
      <c r="F40" s="166">
        <f t="shared" si="4"/>
        <v>0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69"/>
      <c r="BU40" s="163">
        <v>29</v>
      </c>
      <c r="BV40" s="165">
        <f t="shared" si="13"/>
        <v>0</v>
      </c>
      <c r="BW40" s="165">
        <f t="shared" si="6"/>
        <v>0</v>
      </c>
      <c r="BX40" s="165">
        <f t="shared" si="7"/>
        <v>0</v>
      </c>
      <c r="BY40" s="166">
        <f t="shared" si="14"/>
        <v>0</v>
      </c>
      <c r="BZ40" s="166">
        <f t="shared" si="8"/>
        <v>0</v>
      </c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</row>
    <row r="41" spans="1:151" ht="15.75" customHeight="1">
      <c r="A41" s="163">
        <v>30</v>
      </c>
      <c r="B41" s="165">
        <f t="shared" si="10"/>
        <v>0</v>
      </c>
      <c r="C41" s="165">
        <f t="shared" si="2"/>
        <v>0</v>
      </c>
      <c r="D41" s="165">
        <f t="shared" si="3"/>
        <v>0</v>
      </c>
      <c r="E41" s="166">
        <f t="shared" si="11"/>
        <v>0</v>
      </c>
      <c r="F41" s="166">
        <f t="shared" si="4"/>
        <v>0</v>
      </c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69"/>
      <c r="BU41" s="163">
        <v>30</v>
      </c>
      <c r="BV41" s="165">
        <f t="shared" si="13"/>
        <v>0</v>
      </c>
      <c r="BW41" s="165">
        <f t="shared" si="6"/>
        <v>0</v>
      </c>
      <c r="BX41" s="165">
        <f t="shared" si="7"/>
        <v>0</v>
      </c>
      <c r="BY41" s="166">
        <f t="shared" si="14"/>
        <v>0</v>
      </c>
      <c r="BZ41" s="166">
        <f t="shared" si="8"/>
        <v>0</v>
      </c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</row>
    <row r="42" spans="1:151" ht="15.75" customHeight="1">
      <c r="A42" s="163">
        <v>31</v>
      </c>
      <c r="B42" s="165">
        <f t="shared" si="10"/>
        <v>0</v>
      </c>
      <c r="C42" s="165">
        <f t="shared" si="2"/>
        <v>0</v>
      </c>
      <c r="D42" s="165">
        <f t="shared" si="3"/>
        <v>0</v>
      </c>
      <c r="E42" s="166">
        <f t="shared" si="11"/>
        <v>0</v>
      </c>
      <c r="F42" s="166">
        <f t="shared" si="4"/>
        <v>0</v>
      </c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69"/>
      <c r="BU42" s="163">
        <v>31</v>
      </c>
      <c r="BV42" s="165">
        <f t="shared" si="13"/>
        <v>0</v>
      </c>
      <c r="BW42" s="165">
        <f t="shared" si="6"/>
        <v>0</v>
      </c>
      <c r="BX42" s="165">
        <f t="shared" si="7"/>
        <v>0</v>
      </c>
      <c r="BY42" s="166">
        <f t="shared" si="14"/>
        <v>0</v>
      </c>
      <c r="BZ42" s="166">
        <f t="shared" si="8"/>
        <v>0</v>
      </c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</row>
    <row r="43" spans="1:151" ht="15.75" customHeight="1">
      <c r="A43" s="163">
        <v>32</v>
      </c>
      <c r="B43" s="165">
        <f t="shared" si="10"/>
        <v>0</v>
      </c>
      <c r="C43" s="165">
        <f t="shared" si="2"/>
        <v>0</v>
      </c>
      <c r="D43" s="165">
        <f t="shared" si="3"/>
        <v>0</v>
      </c>
      <c r="E43" s="166">
        <f t="shared" si="11"/>
        <v>0</v>
      </c>
      <c r="F43" s="166">
        <f t="shared" si="4"/>
        <v>0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69"/>
      <c r="BU43" s="163">
        <v>32</v>
      </c>
      <c r="BV43" s="165">
        <f t="shared" si="13"/>
        <v>0</v>
      </c>
      <c r="BW43" s="165">
        <f t="shared" si="6"/>
        <v>0</v>
      </c>
      <c r="BX43" s="165">
        <f t="shared" si="7"/>
        <v>0</v>
      </c>
      <c r="BY43" s="166">
        <f t="shared" si="14"/>
        <v>0</v>
      </c>
      <c r="BZ43" s="166">
        <f t="shared" si="8"/>
        <v>0</v>
      </c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</row>
    <row r="44" spans="1:151" ht="15.75" customHeight="1">
      <c r="A44" s="163">
        <v>33</v>
      </c>
      <c r="B44" s="165">
        <f t="shared" si="10"/>
        <v>0</v>
      </c>
      <c r="C44" s="165">
        <f t="shared" si="2"/>
        <v>0</v>
      </c>
      <c r="D44" s="165">
        <f t="shared" si="3"/>
        <v>0</v>
      </c>
      <c r="E44" s="166">
        <f t="shared" si="11"/>
        <v>0</v>
      </c>
      <c r="F44" s="166">
        <f t="shared" si="4"/>
        <v>0</v>
      </c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69"/>
      <c r="BU44" s="163">
        <v>33</v>
      </c>
      <c r="BV44" s="165">
        <f t="shared" si="13"/>
        <v>0</v>
      </c>
      <c r="BW44" s="165">
        <f t="shared" si="6"/>
        <v>0</v>
      </c>
      <c r="BX44" s="165">
        <f t="shared" si="7"/>
        <v>0</v>
      </c>
      <c r="BY44" s="166">
        <f t="shared" si="14"/>
        <v>0</v>
      </c>
      <c r="BZ44" s="166">
        <f t="shared" si="8"/>
        <v>0</v>
      </c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</row>
    <row r="45" spans="1:151" ht="15.75" customHeight="1">
      <c r="A45" s="163">
        <v>34</v>
      </c>
      <c r="B45" s="165">
        <f t="shared" si="10"/>
        <v>0</v>
      </c>
      <c r="C45" s="165">
        <f t="shared" si="2"/>
        <v>0</v>
      </c>
      <c r="D45" s="165">
        <f t="shared" si="3"/>
        <v>0</v>
      </c>
      <c r="E45" s="166">
        <f t="shared" si="11"/>
        <v>0</v>
      </c>
      <c r="F45" s="166">
        <f t="shared" si="4"/>
        <v>0</v>
      </c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69"/>
      <c r="BU45" s="163">
        <v>34</v>
      </c>
      <c r="BV45" s="165">
        <f t="shared" si="13"/>
        <v>0</v>
      </c>
      <c r="BW45" s="165">
        <f t="shared" si="6"/>
        <v>0</v>
      </c>
      <c r="BX45" s="165">
        <f t="shared" si="7"/>
        <v>0</v>
      </c>
      <c r="BY45" s="166">
        <f t="shared" si="14"/>
        <v>0</v>
      </c>
      <c r="BZ45" s="166">
        <f t="shared" si="8"/>
        <v>0</v>
      </c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</row>
    <row r="46" spans="1:151" ht="15.75" customHeight="1">
      <c r="A46" s="163">
        <v>35</v>
      </c>
      <c r="B46" s="165">
        <f t="shared" si="10"/>
        <v>0</v>
      </c>
      <c r="C46" s="165">
        <f t="shared" si="2"/>
        <v>0</v>
      </c>
      <c r="D46" s="165">
        <f t="shared" si="3"/>
        <v>0</v>
      </c>
      <c r="E46" s="166">
        <f t="shared" si="11"/>
        <v>0</v>
      </c>
      <c r="F46" s="166">
        <f t="shared" si="4"/>
        <v>0</v>
      </c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69"/>
      <c r="BU46" s="163">
        <v>35</v>
      </c>
      <c r="BV46" s="165">
        <f t="shared" si="13"/>
        <v>0</v>
      </c>
      <c r="BW46" s="165">
        <f t="shared" si="6"/>
        <v>0</v>
      </c>
      <c r="BX46" s="165">
        <f t="shared" si="7"/>
        <v>0</v>
      </c>
      <c r="BY46" s="166">
        <f t="shared" si="14"/>
        <v>0</v>
      </c>
      <c r="BZ46" s="166">
        <f t="shared" si="8"/>
        <v>0</v>
      </c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</row>
    <row r="47" spans="1:151" ht="15.75" customHeight="1">
      <c r="A47" s="163">
        <v>36</v>
      </c>
      <c r="B47" s="165">
        <f t="shared" si="10"/>
        <v>0</v>
      </c>
      <c r="C47" s="165">
        <f t="shared" si="2"/>
        <v>0</v>
      </c>
      <c r="D47" s="165">
        <f t="shared" si="3"/>
        <v>0</v>
      </c>
      <c r="E47" s="166">
        <f t="shared" si="11"/>
        <v>0</v>
      </c>
      <c r="F47" s="166">
        <f t="shared" si="4"/>
        <v>0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69"/>
      <c r="BU47" s="163">
        <v>36</v>
      </c>
      <c r="BV47" s="165">
        <f t="shared" si="13"/>
        <v>0</v>
      </c>
      <c r="BW47" s="165">
        <f t="shared" si="6"/>
        <v>0</v>
      </c>
      <c r="BX47" s="165">
        <f t="shared" si="7"/>
        <v>0</v>
      </c>
      <c r="BY47" s="166">
        <f t="shared" si="14"/>
        <v>0</v>
      </c>
      <c r="BZ47" s="166">
        <f t="shared" si="8"/>
        <v>0</v>
      </c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</row>
    <row r="48" spans="1:151" ht="15.75" customHeight="1">
      <c r="A48" s="163">
        <v>37</v>
      </c>
      <c r="B48" s="165">
        <f t="shared" si="10"/>
        <v>0</v>
      </c>
      <c r="C48" s="165">
        <f t="shared" si="2"/>
        <v>0</v>
      </c>
      <c r="D48" s="165">
        <f t="shared" si="3"/>
        <v>0</v>
      </c>
      <c r="E48" s="166">
        <f t="shared" si="11"/>
        <v>0</v>
      </c>
      <c r="F48" s="166">
        <f t="shared" si="4"/>
        <v>0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69"/>
      <c r="BU48" s="163">
        <v>37</v>
      </c>
      <c r="BV48" s="165">
        <f t="shared" si="13"/>
        <v>0</v>
      </c>
      <c r="BW48" s="165">
        <f t="shared" si="6"/>
        <v>0</v>
      </c>
      <c r="BX48" s="165">
        <f t="shared" si="7"/>
        <v>0</v>
      </c>
      <c r="BY48" s="166">
        <f t="shared" si="14"/>
        <v>0</v>
      </c>
      <c r="BZ48" s="166">
        <f t="shared" si="8"/>
        <v>0</v>
      </c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</row>
    <row r="49" spans="1:151" ht="15.75" customHeight="1">
      <c r="A49" s="163">
        <v>38</v>
      </c>
      <c r="B49" s="165">
        <f t="shared" si="10"/>
        <v>0</v>
      </c>
      <c r="C49" s="165">
        <f t="shared" si="2"/>
        <v>0</v>
      </c>
      <c r="D49" s="165">
        <f t="shared" si="3"/>
        <v>0</v>
      </c>
      <c r="E49" s="166">
        <f t="shared" si="11"/>
        <v>0</v>
      </c>
      <c r="F49" s="166">
        <f t="shared" si="4"/>
        <v>0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69"/>
      <c r="BU49" s="163">
        <v>38</v>
      </c>
      <c r="BV49" s="165">
        <f t="shared" si="13"/>
        <v>0</v>
      </c>
      <c r="BW49" s="165">
        <f t="shared" si="6"/>
        <v>0</v>
      </c>
      <c r="BX49" s="165">
        <f t="shared" si="7"/>
        <v>0</v>
      </c>
      <c r="BY49" s="166">
        <f t="shared" si="14"/>
        <v>0</v>
      </c>
      <c r="BZ49" s="166">
        <f t="shared" si="8"/>
        <v>0</v>
      </c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</row>
    <row r="50" spans="1:151" ht="15.75" customHeight="1">
      <c r="A50" s="163">
        <v>39</v>
      </c>
      <c r="B50" s="165">
        <f t="shared" si="10"/>
        <v>0</v>
      </c>
      <c r="C50" s="165">
        <f t="shared" si="2"/>
        <v>0</v>
      </c>
      <c r="D50" s="165">
        <f t="shared" si="3"/>
        <v>0</v>
      </c>
      <c r="E50" s="166">
        <f t="shared" si="11"/>
        <v>0</v>
      </c>
      <c r="F50" s="166">
        <f t="shared" si="4"/>
        <v>0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69"/>
      <c r="BU50" s="163">
        <v>39</v>
      </c>
      <c r="BV50" s="165">
        <f t="shared" si="13"/>
        <v>0</v>
      </c>
      <c r="BW50" s="165">
        <f t="shared" si="6"/>
        <v>0</v>
      </c>
      <c r="BX50" s="165">
        <f t="shared" si="7"/>
        <v>0</v>
      </c>
      <c r="BY50" s="166">
        <f t="shared" si="14"/>
        <v>0</v>
      </c>
      <c r="BZ50" s="166">
        <f t="shared" si="8"/>
        <v>0</v>
      </c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</row>
    <row r="51" spans="1:151" ht="15.75" customHeight="1">
      <c r="A51" s="163">
        <v>40</v>
      </c>
      <c r="B51" s="165">
        <f t="shared" si="10"/>
        <v>0</v>
      </c>
      <c r="C51" s="165">
        <f t="shared" si="2"/>
        <v>0</v>
      </c>
      <c r="D51" s="165">
        <f t="shared" si="3"/>
        <v>0</v>
      </c>
      <c r="E51" s="166">
        <f t="shared" si="11"/>
        <v>0</v>
      </c>
      <c r="F51" s="166">
        <f t="shared" si="4"/>
        <v>0</v>
      </c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69"/>
      <c r="BU51" s="163">
        <v>40</v>
      </c>
      <c r="BV51" s="165">
        <f t="shared" si="13"/>
        <v>0</v>
      </c>
      <c r="BW51" s="165">
        <f t="shared" si="6"/>
        <v>0</v>
      </c>
      <c r="BX51" s="165">
        <f t="shared" si="7"/>
        <v>0</v>
      </c>
      <c r="BY51" s="166">
        <f t="shared" si="14"/>
        <v>0</v>
      </c>
      <c r="BZ51" s="166">
        <f t="shared" si="8"/>
        <v>0</v>
      </c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</row>
    <row r="52" spans="1:151" ht="15.75" customHeight="1">
      <c r="A52" s="163">
        <v>41</v>
      </c>
      <c r="B52" s="165">
        <f t="shared" si="10"/>
        <v>0</v>
      </c>
      <c r="C52" s="165">
        <f t="shared" si="2"/>
        <v>0</v>
      </c>
      <c r="D52" s="165">
        <f t="shared" si="3"/>
        <v>0</v>
      </c>
      <c r="E52" s="166">
        <f t="shared" si="11"/>
        <v>0</v>
      </c>
      <c r="F52" s="166">
        <f t="shared" si="4"/>
        <v>0</v>
      </c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69"/>
      <c r="BU52" s="163">
        <v>41</v>
      </c>
      <c r="BV52" s="165">
        <f t="shared" si="13"/>
        <v>0</v>
      </c>
      <c r="BW52" s="165">
        <f t="shared" si="6"/>
        <v>0</v>
      </c>
      <c r="BX52" s="165">
        <f t="shared" si="7"/>
        <v>0</v>
      </c>
      <c r="BY52" s="166">
        <f t="shared" si="14"/>
        <v>0</v>
      </c>
      <c r="BZ52" s="166">
        <f t="shared" si="8"/>
        <v>0</v>
      </c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</row>
    <row r="53" spans="1:151" ht="15.75" customHeight="1">
      <c r="A53" s="163">
        <v>42</v>
      </c>
      <c r="B53" s="165">
        <f t="shared" si="10"/>
        <v>0</v>
      </c>
      <c r="C53" s="165">
        <f t="shared" si="2"/>
        <v>0</v>
      </c>
      <c r="D53" s="165">
        <f t="shared" si="3"/>
        <v>0</v>
      </c>
      <c r="E53" s="166">
        <f t="shared" si="11"/>
        <v>0</v>
      </c>
      <c r="F53" s="166">
        <f t="shared" si="4"/>
        <v>0</v>
      </c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69"/>
      <c r="BU53" s="163">
        <v>42</v>
      </c>
      <c r="BV53" s="165">
        <f t="shared" si="13"/>
        <v>0</v>
      </c>
      <c r="BW53" s="165">
        <f t="shared" si="6"/>
        <v>0</v>
      </c>
      <c r="BX53" s="165">
        <f t="shared" si="7"/>
        <v>0</v>
      </c>
      <c r="BY53" s="166">
        <f t="shared" si="14"/>
        <v>0</v>
      </c>
      <c r="BZ53" s="166">
        <f t="shared" si="8"/>
        <v>0</v>
      </c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</row>
    <row r="54" spans="1:151" ht="15.75" customHeight="1">
      <c r="A54" s="163">
        <v>43</v>
      </c>
      <c r="B54" s="165">
        <f t="shared" si="10"/>
        <v>0</v>
      </c>
      <c r="C54" s="165">
        <f t="shared" si="2"/>
        <v>0</v>
      </c>
      <c r="D54" s="165">
        <f t="shared" si="3"/>
        <v>0</v>
      </c>
      <c r="E54" s="166">
        <f t="shared" si="11"/>
        <v>0</v>
      </c>
      <c r="F54" s="166">
        <f t="shared" si="4"/>
        <v>0</v>
      </c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69"/>
      <c r="BU54" s="163">
        <v>43</v>
      </c>
      <c r="BV54" s="165">
        <f t="shared" si="13"/>
        <v>0</v>
      </c>
      <c r="BW54" s="165">
        <f t="shared" si="6"/>
        <v>0</v>
      </c>
      <c r="BX54" s="165">
        <f t="shared" si="7"/>
        <v>0</v>
      </c>
      <c r="BY54" s="166">
        <f t="shared" si="14"/>
        <v>0</v>
      </c>
      <c r="BZ54" s="166">
        <f t="shared" si="8"/>
        <v>0</v>
      </c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</row>
    <row r="55" spans="1:151" ht="15.75" customHeight="1">
      <c r="A55" s="163">
        <v>44</v>
      </c>
      <c r="B55" s="165">
        <f t="shared" si="10"/>
        <v>0</v>
      </c>
      <c r="C55" s="165">
        <f t="shared" si="2"/>
        <v>0</v>
      </c>
      <c r="D55" s="165">
        <f t="shared" si="3"/>
        <v>0</v>
      </c>
      <c r="E55" s="166">
        <f t="shared" si="11"/>
        <v>0</v>
      </c>
      <c r="F55" s="166">
        <f t="shared" si="4"/>
        <v>0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69"/>
      <c r="BU55" s="163">
        <v>44</v>
      </c>
      <c r="BV55" s="165">
        <f t="shared" si="13"/>
        <v>0</v>
      </c>
      <c r="BW55" s="165">
        <f t="shared" si="6"/>
        <v>0</v>
      </c>
      <c r="BX55" s="165">
        <f t="shared" si="7"/>
        <v>0</v>
      </c>
      <c r="BY55" s="166">
        <f t="shared" si="14"/>
        <v>0</v>
      </c>
      <c r="BZ55" s="166">
        <f t="shared" si="8"/>
        <v>0</v>
      </c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</row>
    <row r="56" spans="1:151" ht="15.75" customHeight="1">
      <c r="A56" s="163">
        <v>45</v>
      </c>
      <c r="B56" s="165">
        <f t="shared" si="10"/>
        <v>0</v>
      </c>
      <c r="C56" s="165">
        <f t="shared" si="2"/>
        <v>0</v>
      </c>
      <c r="D56" s="165">
        <f t="shared" si="3"/>
        <v>0</v>
      </c>
      <c r="E56" s="166">
        <f t="shared" si="11"/>
        <v>0</v>
      </c>
      <c r="F56" s="166">
        <f t="shared" si="4"/>
        <v>0</v>
      </c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69"/>
      <c r="BU56" s="163">
        <v>45</v>
      </c>
      <c r="BV56" s="165">
        <f t="shared" si="13"/>
        <v>0</v>
      </c>
      <c r="BW56" s="165">
        <f t="shared" si="6"/>
        <v>0</v>
      </c>
      <c r="BX56" s="165">
        <f t="shared" si="7"/>
        <v>0</v>
      </c>
      <c r="BY56" s="166">
        <f t="shared" si="14"/>
        <v>0</v>
      </c>
      <c r="BZ56" s="166">
        <f t="shared" si="8"/>
        <v>0</v>
      </c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</row>
    <row r="57" spans="1:151" ht="15.75" customHeight="1">
      <c r="A57" s="163">
        <v>46</v>
      </c>
      <c r="B57" s="165">
        <f t="shared" si="10"/>
        <v>0</v>
      </c>
      <c r="C57" s="165">
        <f t="shared" si="2"/>
        <v>0</v>
      </c>
      <c r="D57" s="165">
        <f t="shared" si="3"/>
        <v>0</v>
      </c>
      <c r="E57" s="166">
        <f t="shared" si="11"/>
        <v>0</v>
      </c>
      <c r="F57" s="166">
        <f t="shared" si="4"/>
        <v>0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69"/>
      <c r="BU57" s="163">
        <v>46</v>
      </c>
      <c r="BV57" s="165">
        <f t="shared" si="13"/>
        <v>0</v>
      </c>
      <c r="BW57" s="165">
        <f t="shared" si="6"/>
        <v>0</v>
      </c>
      <c r="BX57" s="165">
        <f t="shared" si="7"/>
        <v>0</v>
      </c>
      <c r="BY57" s="166">
        <f t="shared" si="14"/>
        <v>0</v>
      </c>
      <c r="BZ57" s="166">
        <f t="shared" si="8"/>
        <v>0</v>
      </c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</row>
    <row r="58" spans="1:151" ht="15.75" customHeight="1">
      <c r="A58" s="163">
        <v>47</v>
      </c>
      <c r="B58" s="165">
        <f t="shared" si="10"/>
        <v>0</v>
      </c>
      <c r="C58" s="165">
        <f t="shared" si="2"/>
        <v>0</v>
      </c>
      <c r="D58" s="165">
        <f t="shared" si="3"/>
        <v>0</v>
      </c>
      <c r="E58" s="166">
        <f t="shared" si="11"/>
        <v>0</v>
      </c>
      <c r="F58" s="166">
        <f t="shared" si="4"/>
        <v>0</v>
      </c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69"/>
      <c r="BU58" s="163">
        <v>47</v>
      </c>
      <c r="BV58" s="165">
        <f t="shared" si="13"/>
        <v>0</v>
      </c>
      <c r="BW58" s="165">
        <f t="shared" si="6"/>
        <v>0</v>
      </c>
      <c r="BX58" s="165">
        <f t="shared" si="7"/>
        <v>0</v>
      </c>
      <c r="BY58" s="166">
        <f t="shared" si="14"/>
        <v>0</v>
      </c>
      <c r="BZ58" s="166">
        <f t="shared" si="8"/>
        <v>0</v>
      </c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</row>
    <row r="59" spans="1:151" ht="15.75" customHeight="1">
      <c r="A59" s="163">
        <v>48</v>
      </c>
      <c r="B59" s="165">
        <f t="shared" si="10"/>
        <v>0</v>
      </c>
      <c r="C59" s="165">
        <f t="shared" si="2"/>
        <v>0</v>
      </c>
      <c r="D59" s="165">
        <f t="shared" si="3"/>
        <v>0</v>
      </c>
      <c r="E59" s="166">
        <f t="shared" si="11"/>
        <v>0</v>
      </c>
      <c r="F59" s="166">
        <f t="shared" si="4"/>
        <v>0</v>
      </c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69"/>
      <c r="BU59" s="163">
        <v>48</v>
      </c>
      <c r="BV59" s="165">
        <f t="shared" si="13"/>
        <v>0</v>
      </c>
      <c r="BW59" s="165">
        <f t="shared" si="6"/>
        <v>0</v>
      </c>
      <c r="BX59" s="165">
        <f t="shared" si="7"/>
        <v>0</v>
      </c>
      <c r="BY59" s="166">
        <f t="shared" si="14"/>
        <v>0</v>
      </c>
      <c r="BZ59" s="166">
        <f t="shared" si="8"/>
        <v>0</v>
      </c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</row>
    <row r="60" spans="1:151" ht="15.75" customHeight="1">
      <c r="A60" s="163">
        <v>49</v>
      </c>
      <c r="B60" s="165">
        <f t="shared" si="10"/>
        <v>0</v>
      </c>
      <c r="C60" s="165">
        <f t="shared" si="2"/>
        <v>0</v>
      </c>
      <c r="D60" s="165">
        <f t="shared" si="3"/>
        <v>0</v>
      </c>
      <c r="E60" s="166">
        <f t="shared" si="11"/>
        <v>0</v>
      </c>
      <c r="F60" s="166">
        <f t="shared" si="4"/>
        <v>0</v>
      </c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69"/>
      <c r="BU60" s="163">
        <v>49</v>
      </c>
      <c r="BV60" s="165">
        <f t="shared" si="13"/>
        <v>0</v>
      </c>
      <c r="BW60" s="165">
        <f t="shared" si="6"/>
        <v>0</v>
      </c>
      <c r="BX60" s="165">
        <f t="shared" si="7"/>
        <v>0</v>
      </c>
      <c r="BY60" s="166">
        <f t="shared" si="14"/>
        <v>0</v>
      </c>
      <c r="BZ60" s="166">
        <f t="shared" si="8"/>
        <v>0</v>
      </c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</row>
    <row r="61" spans="1:151" ht="15.75" customHeight="1">
      <c r="A61" s="163">
        <v>50</v>
      </c>
      <c r="B61" s="165">
        <f t="shared" si="10"/>
        <v>0</v>
      </c>
      <c r="C61" s="165">
        <f t="shared" si="2"/>
        <v>0</v>
      </c>
      <c r="D61" s="165">
        <f t="shared" si="3"/>
        <v>0</v>
      </c>
      <c r="E61" s="166">
        <f t="shared" si="11"/>
        <v>0</v>
      </c>
      <c r="F61" s="166">
        <f t="shared" si="4"/>
        <v>0</v>
      </c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69"/>
      <c r="BU61" s="163">
        <v>50</v>
      </c>
      <c r="BV61" s="165">
        <f t="shared" si="13"/>
        <v>0</v>
      </c>
      <c r="BW61" s="165">
        <f t="shared" si="6"/>
        <v>0</v>
      </c>
      <c r="BX61" s="165">
        <f t="shared" si="7"/>
        <v>0</v>
      </c>
      <c r="BY61" s="166">
        <f t="shared" si="14"/>
        <v>0</v>
      </c>
      <c r="BZ61" s="166">
        <f t="shared" si="8"/>
        <v>0</v>
      </c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</row>
    <row r="62" spans="1:151" ht="15.75" customHeight="1">
      <c r="A62" s="163">
        <v>51</v>
      </c>
      <c r="B62" s="165">
        <f t="shared" si="10"/>
        <v>0</v>
      </c>
      <c r="C62" s="165">
        <f t="shared" si="2"/>
        <v>0</v>
      </c>
      <c r="D62" s="165">
        <f t="shared" si="3"/>
        <v>0</v>
      </c>
      <c r="E62" s="166">
        <f t="shared" si="11"/>
        <v>0</v>
      </c>
      <c r="F62" s="166">
        <f t="shared" si="4"/>
        <v>0</v>
      </c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69"/>
      <c r="BU62" s="163">
        <v>51</v>
      </c>
      <c r="BV62" s="165">
        <f t="shared" si="13"/>
        <v>0</v>
      </c>
      <c r="BW62" s="165">
        <f t="shared" si="6"/>
        <v>0</v>
      </c>
      <c r="BX62" s="165">
        <f t="shared" si="7"/>
        <v>0</v>
      </c>
      <c r="BY62" s="166">
        <f t="shared" si="14"/>
        <v>0</v>
      </c>
      <c r="BZ62" s="166">
        <f t="shared" si="8"/>
        <v>0</v>
      </c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</row>
    <row r="63" spans="1:151" ht="15.75" customHeight="1">
      <c r="A63" s="163">
        <v>52</v>
      </c>
      <c r="B63" s="165">
        <f t="shared" si="10"/>
        <v>0</v>
      </c>
      <c r="C63" s="165">
        <f t="shared" si="2"/>
        <v>0</v>
      </c>
      <c r="D63" s="165">
        <f t="shared" si="3"/>
        <v>0</v>
      </c>
      <c r="E63" s="166">
        <f t="shared" si="11"/>
        <v>0</v>
      </c>
      <c r="F63" s="166">
        <f t="shared" si="4"/>
        <v>0</v>
      </c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69"/>
      <c r="BU63" s="163">
        <v>52</v>
      </c>
      <c r="BV63" s="165">
        <f t="shared" si="13"/>
        <v>0</v>
      </c>
      <c r="BW63" s="165">
        <f t="shared" si="6"/>
        <v>0</v>
      </c>
      <c r="BX63" s="165">
        <f t="shared" si="7"/>
        <v>0</v>
      </c>
      <c r="BY63" s="166">
        <f t="shared" si="14"/>
        <v>0</v>
      </c>
      <c r="BZ63" s="166">
        <f t="shared" si="8"/>
        <v>0</v>
      </c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</row>
    <row r="64" spans="1:151" ht="15.75" customHeight="1">
      <c r="A64" s="163">
        <v>53</v>
      </c>
      <c r="B64" s="165">
        <f t="shared" si="10"/>
        <v>0</v>
      </c>
      <c r="C64" s="165">
        <f t="shared" si="2"/>
        <v>0</v>
      </c>
      <c r="D64" s="165">
        <f t="shared" si="3"/>
        <v>0</v>
      </c>
      <c r="E64" s="166">
        <f t="shared" si="11"/>
        <v>0</v>
      </c>
      <c r="F64" s="166">
        <f t="shared" si="4"/>
        <v>0</v>
      </c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69"/>
      <c r="BU64" s="163">
        <v>53</v>
      </c>
      <c r="BV64" s="165">
        <f t="shared" si="13"/>
        <v>0</v>
      </c>
      <c r="BW64" s="165">
        <f t="shared" si="6"/>
        <v>0</v>
      </c>
      <c r="BX64" s="165">
        <f t="shared" si="7"/>
        <v>0</v>
      </c>
      <c r="BY64" s="166">
        <f t="shared" si="14"/>
        <v>0</v>
      </c>
      <c r="BZ64" s="166">
        <f t="shared" si="8"/>
        <v>0</v>
      </c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</row>
    <row r="65" spans="1:151" ht="15.75" customHeight="1">
      <c r="A65" s="163">
        <v>54</v>
      </c>
      <c r="B65" s="165">
        <f t="shared" si="10"/>
        <v>0</v>
      </c>
      <c r="C65" s="165">
        <f t="shared" si="2"/>
        <v>0</v>
      </c>
      <c r="D65" s="165">
        <f t="shared" si="3"/>
        <v>0</v>
      </c>
      <c r="E65" s="166">
        <f t="shared" si="11"/>
        <v>0</v>
      </c>
      <c r="F65" s="166">
        <f t="shared" si="4"/>
        <v>0</v>
      </c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69"/>
      <c r="BU65" s="163">
        <v>54</v>
      </c>
      <c r="BV65" s="165">
        <f t="shared" si="13"/>
        <v>0</v>
      </c>
      <c r="BW65" s="165">
        <f t="shared" si="6"/>
        <v>0</v>
      </c>
      <c r="BX65" s="165">
        <f t="shared" si="7"/>
        <v>0</v>
      </c>
      <c r="BY65" s="166">
        <f t="shared" si="14"/>
        <v>0</v>
      </c>
      <c r="BZ65" s="166">
        <f t="shared" si="8"/>
        <v>0</v>
      </c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</row>
    <row r="66" spans="1:151" ht="15.75" customHeight="1">
      <c r="A66" s="163">
        <v>55</v>
      </c>
      <c r="B66" s="165">
        <f t="shared" si="10"/>
        <v>0</v>
      </c>
      <c r="C66" s="165">
        <f t="shared" si="2"/>
        <v>0</v>
      </c>
      <c r="D66" s="165">
        <f t="shared" si="3"/>
        <v>0</v>
      </c>
      <c r="E66" s="166">
        <f t="shared" si="11"/>
        <v>0</v>
      </c>
      <c r="F66" s="166">
        <f t="shared" si="4"/>
        <v>0</v>
      </c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69"/>
      <c r="BU66" s="163">
        <v>55</v>
      </c>
      <c r="BV66" s="165">
        <f t="shared" si="13"/>
        <v>0</v>
      </c>
      <c r="BW66" s="165">
        <f t="shared" si="6"/>
        <v>0</v>
      </c>
      <c r="BX66" s="165">
        <f t="shared" si="7"/>
        <v>0</v>
      </c>
      <c r="BY66" s="166">
        <f t="shared" si="14"/>
        <v>0</v>
      </c>
      <c r="BZ66" s="166">
        <f t="shared" si="8"/>
        <v>0</v>
      </c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</row>
    <row r="67" spans="1:151" ht="15.75" customHeight="1">
      <c r="A67" s="163">
        <v>56</v>
      </c>
      <c r="B67" s="165">
        <f t="shared" si="10"/>
        <v>0</v>
      </c>
      <c r="C67" s="165">
        <f t="shared" si="2"/>
        <v>0</v>
      </c>
      <c r="D67" s="165">
        <f t="shared" si="3"/>
        <v>0</v>
      </c>
      <c r="E67" s="166">
        <f t="shared" si="11"/>
        <v>0</v>
      </c>
      <c r="F67" s="166">
        <f t="shared" si="4"/>
        <v>0</v>
      </c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69"/>
      <c r="BU67" s="163">
        <v>56</v>
      </c>
      <c r="BV67" s="165">
        <f t="shared" si="13"/>
        <v>0</v>
      </c>
      <c r="BW67" s="165">
        <f t="shared" si="6"/>
        <v>0</v>
      </c>
      <c r="BX67" s="165">
        <f t="shared" si="7"/>
        <v>0</v>
      </c>
      <c r="BY67" s="166">
        <f t="shared" si="14"/>
        <v>0</v>
      </c>
      <c r="BZ67" s="166">
        <f t="shared" si="8"/>
        <v>0</v>
      </c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</row>
    <row r="68" spans="1:151" ht="15.75" customHeight="1">
      <c r="A68" s="163">
        <v>57</v>
      </c>
      <c r="B68" s="165">
        <f t="shared" si="10"/>
        <v>0</v>
      </c>
      <c r="C68" s="165">
        <f t="shared" si="2"/>
        <v>0</v>
      </c>
      <c r="D68" s="165">
        <f t="shared" si="3"/>
        <v>0</v>
      </c>
      <c r="E68" s="166">
        <f t="shared" si="11"/>
        <v>0</v>
      </c>
      <c r="F68" s="166">
        <f t="shared" si="4"/>
        <v>0</v>
      </c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69"/>
      <c r="BU68" s="163">
        <v>57</v>
      </c>
      <c r="BV68" s="165">
        <f t="shared" si="13"/>
        <v>0</v>
      </c>
      <c r="BW68" s="165">
        <f t="shared" si="6"/>
        <v>0</v>
      </c>
      <c r="BX68" s="165">
        <f t="shared" si="7"/>
        <v>0</v>
      </c>
      <c r="BY68" s="166">
        <f t="shared" si="14"/>
        <v>0</v>
      </c>
      <c r="BZ68" s="166">
        <f t="shared" si="8"/>
        <v>0</v>
      </c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</row>
    <row r="69" spans="1:151" ht="15.75" customHeight="1">
      <c r="A69" s="163">
        <v>58</v>
      </c>
      <c r="B69" s="165">
        <f t="shared" si="10"/>
        <v>0</v>
      </c>
      <c r="C69" s="165">
        <f t="shared" si="2"/>
        <v>0</v>
      </c>
      <c r="D69" s="165">
        <f t="shared" si="3"/>
        <v>0</v>
      </c>
      <c r="E69" s="166">
        <f t="shared" si="11"/>
        <v>0</v>
      </c>
      <c r="F69" s="166">
        <f t="shared" si="4"/>
        <v>0</v>
      </c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69"/>
      <c r="BU69" s="163">
        <v>58</v>
      </c>
      <c r="BV69" s="165">
        <f t="shared" si="13"/>
        <v>0</v>
      </c>
      <c r="BW69" s="165">
        <f t="shared" si="6"/>
        <v>0</v>
      </c>
      <c r="BX69" s="165">
        <f t="shared" si="7"/>
        <v>0</v>
      </c>
      <c r="BY69" s="166">
        <f t="shared" si="14"/>
        <v>0</v>
      </c>
      <c r="BZ69" s="166">
        <f t="shared" si="8"/>
        <v>0</v>
      </c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</row>
    <row r="70" spans="1:151" ht="15.75" customHeight="1">
      <c r="A70" s="163">
        <v>59</v>
      </c>
      <c r="B70" s="165">
        <f t="shared" si="10"/>
        <v>0</v>
      </c>
      <c r="C70" s="165">
        <f t="shared" si="2"/>
        <v>0</v>
      </c>
      <c r="D70" s="165">
        <f t="shared" si="3"/>
        <v>0</v>
      </c>
      <c r="E70" s="166">
        <f t="shared" si="11"/>
        <v>0</v>
      </c>
      <c r="F70" s="166">
        <f t="shared" si="4"/>
        <v>0</v>
      </c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69"/>
      <c r="BU70" s="163">
        <v>59</v>
      </c>
      <c r="BV70" s="165">
        <f t="shared" si="13"/>
        <v>0</v>
      </c>
      <c r="BW70" s="165">
        <f t="shared" si="6"/>
        <v>0</v>
      </c>
      <c r="BX70" s="165">
        <f t="shared" si="7"/>
        <v>0</v>
      </c>
      <c r="BY70" s="166">
        <f t="shared" si="14"/>
        <v>0</v>
      </c>
      <c r="BZ70" s="166">
        <f t="shared" si="8"/>
        <v>0</v>
      </c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</row>
    <row r="71" spans="1:151" ht="15.75" customHeight="1">
      <c r="A71" s="163">
        <v>60</v>
      </c>
      <c r="B71" s="165">
        <f t="shared" si="10"/>
        <v>0</v>
      </c>
      <c r="C71" s="165">
        <f t="shared" si="2"/>
        <v>0</v>
      </c>
      <c r="D71" s="165">
        <f t="shared" si="3"/>
        <v>0</v>
      </c>
      <c r="E71" s="166">
        <f t="shared" si="11"/>
        <v>0</v>
      </c>
      <c r="F71" s="166">
        <f t="shared" si="4"/>
        <v>0</v>
      </c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69"/>
      <c r="BU71" s="163">
        <v>60</v>
      </c>
      <c r="BV71" s="165">
        <f t="shared" si="13"/>
        <v>0</v>
      </c>
      <c r="BW71" s="165">
        <f t="shared" si="6"/>
        <v>0</v>
      </c>
      <c r="BX71" s="165">
        <f t="shared" si="7"/>
        <v>0</v>
      </c>
      <c r="BY71" s="166">
        <f t="shared" si="14"/>
        <v>0</v>
      </c>
      <c r="BZ71" s="166">
        <f t="shared" si="8"/>
        <v>0</v>
      </c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</row>
    <row r="72" spans="1:151" ht="15.75" customHeight="1">
      <c r="A72" s="163">
        <v>61</v>
      </c>
      <c r="B72" s="165">
        <f t="shared" si="10"/>
        <v>0</v>
      </c>
      <c r="C72" s="165">
        <f t="shared" si="2"/>
        <v>0</v>
      </c>
      <c r="D72" s="165">
        <f t="shared" si="3"/>
        <v>0</v>
      </c>
      <c r="E72" s="166">
        <f t="shared" si="11"/>
        <v>0</v>
      </c>
      <c r="F72" s="166">
        <f t="shared" si="4"/>
        <v>0</v>
      </c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69"/>
      <c r="BU72" s="163">
        <v>61</v>
      </c>
      <c r="BV72" s="165">
        <f t="shared" si="13"/>
        <v>0</v>
      </c>
      <c r="BW72" s="165">
        <f t="shared" si="6"/>
        <v>0</v>
      </c>
      <c r="BX72" s="165">
        <f t="shared" si="7"/>
        <v>0</v>
      </c>
      <c r="BY72" s="166">
        <f t="shared" si="14"/>
        <v>0</v>
      </c>
      <c r="BZ72" s="166">
        <f t="shared" si="8"/>
        <v>0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</row>
    <row r="73" spans="1:151" ht="15.75" customHeight="1">
      <c r="A73" s="163">
        <v>62</v>
      </c>
      <c r="B73" s="165">
        <f t="shared" si="10"/>
        <v>0</v>
      </c>
      <c r="C73" s="165">
        <f t="shared" si="2"/>
        <v>0</v>
      </c>
      <c r="D73" s="165">
        <f t="shared" si="3"/>
        <v>0</v>
      </c>
      <c r="E73" s="166">
        <f t="shared" si="11"/>
        <v>0</v>
      </c>
      <c r="F73" s="166">
        <f t="shared" si="4"/>
        <v>0</v>
      </c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69"/>
      <c r="BU73" s="163">
        <v>62</v>
      </c>
      <c r="BV73" s="165">
        <f t="shared" si="13"/>
        <v>0</v>
      </c>
      <c r="BW73" s="165">
        <f t="shared" si="6"/>
        <v>0</v>
      </c>
      <c r="BX73" s="165">
        <f t="shared" si="7"/>
        <v>0</v>
      </c>
      <c r="BY73" s="166">
        <f t="shared" si="14"/>
        <v>0</v>
      </c>
      <c r="BZ73" s="166">
        <f t="shared" si="8"/>
        <v>0</v>
      </c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</row>
    <row r="74" spans="1:151" ht="15.75" customHeight="1">
      <c r="A74" s="163">
        <v>63</v>
      </c>
      <c r="B74" s="165">
        <f t="shared" si="10"/>
        <v>0</v>
      </c>
      <c r="C74" s="165">
        <f t="shared" si="2"/>
        <v>0</v>
      </c>
      <c r="D74" s="165">
        <f t="shared" si="3"/>
        <v>0</v>
      </c>
      <c r="E74" s="166">
        <f t="shared" si="11"/>
        <v>0</v>
      </c>
      <c r="F74" s="166">
        <f t="shared" si="4"/>
        <v>0</v>
      </c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69"/>
      <c r="BU74" s="163">
        <v>63</v>
      </c>
      <c r="BV74" s="165">
        <f t="shared" si="13"/>
        <v>0</v>
      </c>
      <c r="BW74" s="165">
        <f t="shared" si="6"/>
        <v>0</v>
      </c>
      <c r="BX74" s="165">
        <f t="shared" si="7"/>
        <v>0</v>
      </c>
      <c r="BY74" s="166">
        <f t="shared" si="14"/>
        <v>0</v>
      </c>
      <c r="BZ74" s="166">
        <f t="shared" si="8"/>
        <v>0</v>
      </c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</row>
    <row r="75" spans="1:151" ht="15.75" customHeight="1">
      <c r="A75" s="163">
        <v>64</v>
      </c>
      <c r="B75" s="165">
        <f t="shared" si="10"/>
        <v>0</v>
      </c>
      <c r="C75" s="165">
        <f t="shared" si="2"/>
        <v>0</v>
      </c>
      <c r="D75" s="165">
        <f t="shared" si="3"/>
        <v>0</v>
      </c>
      <c r="E75" s="166">
        <f t="shared" si="11"/>
        <v>0</v>
      </c>
      <c r="F75" s="166">
        <f t="shared" si="4"/>
        <v>0</v>
      </c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69"/>
      <c r="BU75" s="163">
        <v>64</v>
      </c>
      <c r="BV75" s="165">
        <f t="shared" si="13"/>
        <v>0</v>
      </c>
      <c r="BW75" s="165">
        <f t="shared" si="6"/>
        <v>0</v>
      </c>
      <c r="BX75" s="165">
        <f t="shared" si="7"/>
        <v>0</v>
      </c>
      <c r="BY75" s="166">
        <f t="shared" si="14"/>
        <v>0</v>
      </c>
      <c r="BZ75" s="166">
        <f t="shared" si="8"/>
        <v>0</v>
      </c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</row>
    <row r="76" spans="1:151" ht="15.75" customHeight="1">
      <c r="A76" s="163">
        <v>65</v>
      </c>
      <c r="B76" s="165">
        <f t="shared" si="10"/>
        <v>0</v>
      </c>
      <c r="C76" s="165">
        <f t="shared" si="2"/>
        <v>0</v>
      </c>
      <c r="D76" s="165">
        <f t="shared" si="3"/>
        <v>0</v>
      </c>
      <c r="E76" s="166">
        <f t="shared" si="11"/>
        <v>0</v>
      </c>
      <c r="F76" s="166">
        <f t="shared" si="4"/>
        <v>0</v>
      </c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69"/>
      <c r="BU76" s="163">
        <v>65</v>
      </c>
      <c r="BV76" s="165">
        <f t="shared" si="13"/>
        <v>0</v>
      </c>
      <c r="BW76" s="165">
        <f t="shared" si="6"/>
        <v>0</v>
      </c>
      <c r="BX76" s="165">
        <f t="shared" si="7"/>
        <v>0</v>
      </c>
      <c r="BY76" s="166">
        <f t="shared" si="14"/>
        <v>0</v>
      </c>
      <c r="BZ76" s="166">
        <f t="shared" si="8"/>
        <v>0</v>
      </c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</row>
    <row r="77" spans="1:151" ht="15.75" customHeight="1">
      <c r="A77" s="163">
        <v>66</v>
      </c>
      <c r="B77" s="165">
        <f t="shared" si="10"/>
        <v>0</v>
      </c>
      <c r="C77" s="165">
        <f t="shared" si="2"/>
        <v>0</v>
      </c>
      <c r="D77" s="165">
        <f t="shared" si="3"/>
        <v>0</v>
      </c>
      <c r="E77" s="166">
        <f t="shared" si="11"/>
        <v>0</v>
      </c>
      <c r="F77" s="166">
        <f t="shared" si="4"/>
        <v>0</v>
      </c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69"/>
      <c r="BU77" s="163">
        <v>66</v>
      </c>
      <c r="BV77" s="165">
        <f t="shared" si="13"/>
        <v>0</v>
      </c>
      <c r="BW77" s="165">
        <f t="shared" si="6"/>
        <v>0</v>
      </c>
      <c r="BX77" s="165">
        <f t="shared" si="7"/>
        <v>0</v>
      </c>
      <c r="BY77" s="166">
        <f t="shared" si="14"/>
        <v>0</v>
      </c>
      <c r="BZ77" s="166">
        <f t="shared" si="8"/>
        <v>0</v>
      </c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</row>
    <row r="78" spans="1:151" ht="15.75" customHeight="1">
      <c r="A78" s="163">
        <v>67</v>
      </c>
      <c r="B78" s="165">
        <f t="shared" si="10"/>
        <v>0</v>
      </c>
      <c r="C78" s="165">
        <f t="shared" si="2"/>
        <v>0</v>
      </c>
      <c r="D78" s="165">
        <f t="shared" si="3"/>
        <v>0</v>
      </c>
      <c r="E78" s="166">
        <f t="shared" si="11"/>
        <v>0</v>
      </c>
      <c r="F78" s="166">
        <f t="shared" si="4"/>
        <v>0</v>
      </c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69"/>
      <c r="BU78" s="163">
        <v>67</v>
      </c>
      <c r="BV78" s="165">
        <f t="shared" si="13"/>
        <v>0</v>
      </c>
      <c r="BW78" s="165">
        <f t="shared" si="6"/>
        <v>0</v>
      </c>
      <c r="BX78" s="165">
        <f t="shared" si="7"/>
        <v>0</v>
      </c>
      <c r="BY78" s="166">
        <f t="shared" si="14"/>
        <v>0</v>
      </c>
      <c r="BZ78" s="166">
        <f t="shared" si="8"/>
        <v>0</v>
      </c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</row>
    <row r="79" spans="1:151" ht="15.75" customHeight="1">
      <c r="A79" s="163">
        <v>68</v>
      </c>
      <c r="B79" s="165">
        <f t="shared" si="10"/>
        <v>0</v>
      </c>
      <c r="C79" s="165">
        <f t="shared" si="2"/>
        <v>0</v>
      </c>
      <c r="D79" s="165">
        <f t="shared" si="3"/>
        <v>0</v>
      </c>
      <c r="E79" s="166">
        <f t="shared" si="11"/>
        <v>0</v>
      </c>
      <c r="F79" s="166">
        <f t="shared" si="4"/>
        <v>0</v>
      </c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69"/>
      <c r="BU79" s="163">
        <v>68</v>
      </c>
      <c r="BV79" s="165">
        <f t="shared" si="13"/>
        <v>0</v>
      </c>
      <c r="BW79" s="165">
        <f t="shared" si="6"/>
        <v>0</v>
      </c>
      <c r="BX79" s="165">
        <f t="shared" si="7"/>
        <v>0</v>
      </c>
      <c r="BY79" s="166">
        <f t="shared" si="14"/>
        <v>0</v>
      </c>
      <c r="BZ79" s="166">
        <f t="shared" si="8"/>
        <v>0</v>
      </c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</row>
    <row r="80" spans="1:151" ht="15.75" customHeight="1">
      <c r="A80" s="163">
        <v>69</v>
      </c>
      <c r="B80" s="165">
        <f t="shared" si="10"/>
        <v>0</v>
      </c>
      <c r="C80" s="165">
        <f t="shared" si="2"/>
        <v>0</v>
      </c>
      <c r="D80" s="165">
        <f t="shared" si="3"/>
        <v>0</v>
      </c>
      <c r="E80" s="166">
        <f t="shared" si="11"/>
        <v>0</v>
      </c>
      <c r="F80" s="166">
        <f t="shared" si="4"/>
        <v>0</v>
      </c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69"/>
      <c r="BU80" s="163">
        <v>69</v>
      </c>
      <c r="BV80" s="165">
        <f t="shared" si="13"/>
        <v>0</v>
      </c>
      <c r="BW80" s="165">
        <f t="shared" si="6"/>
        <v>0</v>
      </c>
      <c r="BX80" s="165">
        <f t="shared" si="7"/>
        <v>0</v>
      </c>
      <c r="BY80" s="166">
        <f t="shared" si="14"/>
        <v>0</v>
      </c>
      <c r="BZ80" s="166">
        <f t="shared" si="8"/>
        <v>0</v>
      </c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</row>
    <row r="81" spans="1:151" ht="15.75" customHeight="1">
      <c r="A81" s="163">
        <v>70</v>
      </c>
      <c r="B81" s="165">
        <f t="shared" si="10"/>
        <v>0</v>
      </c>
      <c r="C81" s="165">
        <f t="shared" si="2"/>
        <v>0</v>
      </c>
      <c r="D81" s="165">
        <f t="shared" si="3"/>
        <v>0</v>
      </c>
      <c r="E81" s="166">
        <f t="shared" si="11"/>
        <v>0</v>
      </c>
      <c r="F81" s="166">
        <f t="shared" si="4"/>
        <v>0</v>
      </c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69"/>
      <c r="BU81" s="163">
        <v>70</v>
      </c>
      <c r="BV81" s="165">
        <f t="shared" si="13"/>
        <v>0</v>
      </c>
      <c r="BW81" s="165">
        <f t="shared" si="6"/>
        <v>0</v>
      </c>
      <c r="BX81" s="165">
        <f t="shared" si="7"/>
        <v>0</v>
      </c>
      <c r="BY81" s="166">
        <f t="shared" si="14"/>
        <v>0</v>
      </c>
      <c r="BZ81" s="166">
        <f t="shared" si="8"/>
        <v>0</v>
      </c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</row>
    <row r="82" spans="1:151" ht="15.75" customHeight="1">
      <c r="A82" s="163">
        <v>71</v>
      </c>
      <c r="B82" s="165">
        <f t="shared" si="10"/>
        <v>0</v>
      </c>
      <c r="C82" s="165">
        <f t="shared" si="2"/>
        <v>0</v>
      </c>
      <c r="D82" s="165">
        <f t="shared" si="3"/>
        <v>0</v>
      </c>
      <c r="E82" s="166">
        <f t="shared" si="11"/>
        <v>0</v>
      </c>
      <c r="F82" s="166">
        <f t="shared" si="4"/>
        <v>0</v>
      </c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69"/>
      <c r="BU82" s="163">
        <v>71</v>
      </c>
      <c r="BV82" s="165">
        <f t="shared" si="13"/>
        <v>0</v>
      </c>
      <c r="BW82" s="165">
        <f t="shared" si="6"/>
        <v>0</v>
      </c>
      <c r="BX82" s="165">
        <f t="shared" si="7"/>
        <v>0</v>
      </c>
      <c r="BY82" s="166">
        <f t="shared" si="14"/>
        <v>0</v>
      </c>
      <c r="BZ82" s="166">
        <f t="shared" si="8"/>
        <v>0</v>
      </c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</row>
    <row r="83" spans="1:151" ht="15.75" customHeight="1">
      <c r="A83" s="163">
        <v>72</v>
      </c>
      <c r="B83" s="165">
        <f t="shared" si="10"/>
        <v>0</v>
      </c>
      <c r="C83" s="165">
        <f t="shared" si="2"/>
        <v>0</v>
      </c>
      <c r="D83" s="165">
        <f t="shared" si="3"/>
        <v>0</v>
      </c>
      <c r="E83" s="166">
        <f t="shared" si="11"/>
        <v>0</v>
      </c>
      <c r="F83" s="166">
        <f t="shared" si="4"/>
        <v>0</v>
      </c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69"/>
      <c r="BU83" s="163">
        <v>72</v>
      </c>
      <c r="BV83" s="165">
        <f t="shared" si="13"/>
        <v>0</v>
      </c>
      <c r="BW83" s="165">
        <f t="shared" si="6"/>
        <v>0</v>
      </c>
      <c r="BX83" s="165">
        <f t="shared" si="7"/>
        <v>0</v>
      </c>
      <c r="BY83" s="166">
        <f t="shared" si="14"/>
        <v>0</v>
      </c>
      <c r="BZ83" s="166">
        <f t="shared" si="8"/>
        <v>0</v>
      </c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</row>
    <row r="84" spans="1:151" ht="15.75" customHeight="1">
      <c r="A84" s="163">
        <v>73</v>
      </c>
      <c r="B84" s="165">
        <f t="shared" si="10"/>
        <v>0</v>
      </c>
      <c r="C84" s="165">
        <f t="shared" si="2"/>
        <v>0</v>
      </c>
      <c r="D84" s="165">
        <f t="shared" si="3"/>
        <v>0</v>
      </c>
      <c r="E84" s="166">
        <f t="shared" si="11"/>
        <v>0</v>
      </c>
      <c r="F84" s="166">
        <f t="shared" si="4"/>
        <v>0</v>
      </c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69"/>
      <c r="BU84" s="163">
        <v>73</v>
      </c>
      <c r="BV84" s="165">
        <f t="shared" si="13"/>
        <v>0</v>
      </c>
      <c r="BW84" s="165">
        <f t="shared" si="6"/>
        <v>0</v>
      </c>
      <c r="BX84" s="165">
        <f t="shared" si="7"/>
        <v>0</v>
      </c>
      <c r="BY84" s="166">
        <f t="shared" si="14"/>
        <v>0</v>
      </c>
      <c r="BZ84" s="166">
        <f t="shared" si="8"/>
        <v>0</v>
      </c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</row>
    <row r="85" spans="1:151" ht="15.75" customHeight="1">
      <c r="A85" s="163">
        <v>74</v>
      </c>
      <c r="B85" s="165">
        <f t="shared" si="10"/>
        <v>0</v>
      </c>
      <c r="C85" s="165">
        <f t="shared" si="2"/>
        <v>0</v>
      </c>
      <c r="D85" s="165">
        <f t="shared" si="3"/>
        <v>0</v>
      </c>
      <c r="E85" s="166">
        <f t="shared" si="11"/>
        <v>0</v>
      </c>
      <c r="F85" s="166">
        <f t="shared" si="4"/>
        <v>0</v>
      </c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69"/>
      <c r="BU85" s="163">
        <v>74</v>
      </c>
      <c r="BV85" s="165">
        <f t="shared" si="13"/>
        <v>0</v>
      </c>
      <c r="BW85" s="165">
        <f t="shared" si="6"/>
        <v>0</v>
      </c>
      <c r="BX85" s="165">
        <f t="shared" si="7"/>
        <v>0</v>
      </c>
      <c r="BY85" s="166">
        <f t="shared" si="14"/>
        <v>0</v>
      </c>
      <c r="BZ85" s="166">
        <f t="shared" si="8"/>
        <v>0</v>
      </c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</row>
    <row r="86" spans="1:151" ht="15.75" customHeight="1">
      <c r="A86" s="163">
        <v>75</v>
      </c>
      <c r="B86" s="165">
        <f t="shared" si="10"/>
        <v>0</v>
      </c>
      <c r="C86" s="165">
        <f t="shared" si="2"/>
        <v>0</v>
      </c>
      <c r="D86" s="165">
        <f t="shared" si="3"/>
        <v>0</v>
      </c>
      <c r="E86" s="166">
        <f t="shared" si="11"/>
        <v>0</v>
      </c>
      <c r="F86" s="166">
        <f t="shared" si="4"/>
        <v>0</v>
      </c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69"/>
      <c r="BU86" s="163">
        <v>75</v>
      </c>
      <c r="BV86" s="165">
        <f t="shared" si="13"/>
        <v>0</v>
      </c>
      <c r="BW86" s="165">
        <f t="shared" si="6"/>
        <v>0</v>
      </c>
      <c r="BX86" s="165">
        <f t="shared" si="7"/>
        <v>0</v>
      </c>
      <c r="BY86" s="166">
        <f t="shared" si="14"/>
        <v>0</v>
      </c>
      <c r="BZ86" s="166">
        <f t="shared" si="8"/>
        <v>0</v>
      </c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</row>
    <row r="87" spans="1:151" ht="15.75" customHeight="1">
      <c r="A87" s="163">
        <v>76</v>
      </c>
      <c r="B87" s="165">
        <f t="shared" si="10"/>
        <v>0</v>
      </c>
      <c r="C87" s="165">
        <f t="shared" si="2"/>
        <v>0</v>
      </c>
      <c r="D87" s="165">
        <f t="shared" si="3"/>
        <v>0</v>
      </c>
      <c r="E87" s="166">
        <f t="shared" si="11"/>
        <v>0</v>
      </c>
      <c r="F87" s="166">
        <f t="shared" si="4"/>
        <v>0</v>
      </c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69"/>
      <c r="BU87" s="163">
        <v>76</v>
      </c>
      <c r="BV87" s="165">
        <f t="shared" si="13"/>
        <v>0</v>
      </c>
      <c r="BW87" s="165">
        <f t="shared" si="6"/>
        <v>0</v>
      </c>
      <c r="BX87" s="165">
        <f t="shared" si="7"/>
        <v>0</v>
      </c>
      <c r="BY87" s="166">
        <f t="shared" si="14"/>
        <v>0</v>
      </c>
      <c r="BZ87" s="166">
        <f t="shared" si="8"/>
        <v>0</v>
      </c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</row>
    <row r="88" spans="1:151" ht="15.75" customHeight="1">
      <c r="A88" s="163">
        <v>77</v>
      </c>
      <c r="B88" s="165">
        <f t="shared" si="10"/>
        <v>0</v>
      </c>
      <c r="C88" s="165">
        <f t="shared" si="2"/>
        <v>0</v>
      </c>
      <c r="D88" s="165">
        <f t="shared" si="3"/>
        <v>0</v>
      </c>
      <c r="E88" s="166">
        <f t="shared" si="11"/>
        <v>0</v>
      </c>
      <c r="F88" s="166">
        <f t="shared" si="4"/>
        <v>0</v>
      </c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69"/>
      <c r="BU88" s="163">
        <v>77</v>
      </c>
      <c r="BV88" s="165">
        <f t="shared" si="13"/>
        <v>0</v>
      </c>
      <c r="BW88" s="165">
        <f t="shared" si="6"/>
        <v>0</v>
      </c>
      <c r="BX88" s="165">
        <f t="shared" si="7"/>
        <v>0</v>
      </c>
      <c r="BY88" s="166">
        <f t="shared" si="14"/>
        <v>0</v>
      </c>
      <c r="BZ88" s="166">
        <f t="shared" si="8"/>
        <v>0</v>
      </c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</row>
    <row r="89" spans="1:151" ht="15.75" customHeight="1">
      <c r="A89" s="163">
        <v>78</v>
      </c>
      <c r="B89" s="165">
        <f t="shared" si="10"/>
        <v>0</v>
      </c>
      <c r="C89" s="165">
        <f t="shared" si="2"/>
        <v>0</v>
      </c>
      <c r="D89" s="165">
        <f t="shared" si="3"/>
        <v>0</v>
      </c>
      <c r="E89" s="166">
        <f t="shared" si="11"/>
        <v>0</v>
      </c>
      <c r="F89" s="166">
        <f t="shared" si="4"/>
        <v>0</v>
      </c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69"/>
      <c r="BU89" s="163">
        <v>78</v>
      </c>
      <c r="BV89" s="165">
        <f t="shared" si="13"/>
        <v>0</v>
      </c>
      <c r="BW89" s="165">
        <f t="shared" si="6"/>
        <v>0</v>
      </c>
      <c r="BX89" s="165">
        <f t="shared" si="7"/>
        <v>0</v>
      </c>
      <c r="BY89" s="166">
        <f t="shared" si="14"/>
        <v>0</v>
      </c>
      <c r="BZ89" s="166">
        <f t="shared" si="8"/>
        <v>0</v>
      </c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</row>
    <row r="90" spans="1:151" ht="15.75" customHeight="1">
      <c r="A90" s="163">
        <v>79</v>
      </c>
      <c r="B90" s="165">
        <f t="shared" si="10"/>
        <v>0</v>
      </c>
      <c r="C90" s="165">
        <f t="shared" si="2"/>
        <v>0</v>
      </c>
      <c r="D90" s="165">
        <f t="shared" si="3"/>
        <v>0</v>
      </c>
      <c r="E90" s="166">
        <f t="shared" si="11"/>
        <v>0</v>
      </c>
      <c r="F90" s="166">
        <f t="shared" si="4"/>
        <v>0</v>
      </c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69"/>
      <c r="BU90" s="163">
        <v>79</v>
      </c>
      <c r="BV90" s="165">
        <f t="shared" si="13"/>
        <v>0</v>
      </c>
      <c r="BW90" s="165">
        <f t="shared" si="6"/>
        <v>0</v>
      </c>
      <c r="BX90" s="165">
        <f t="shared" si="7"/>
        <v>0</v>
      </c>
      <c r="BY90" s="166">
        <f t="shared" si="14"/>
        <v>0</v>
      </c>
      <c r="BZ90" s="166">
        <f t="shared" si="8"/>
        <v>0</v>
      </c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</row>
    <row r="91" spans="1:151" ht="15.75" customHeight="1">
      <c r="A91" s="163">
        <v>80</v>
      </c>
      <c r="B91" s="165">
        <f t="shared" si="10"/>
        <v>0</v>
      </c>
      <c r="C91" s="165">
        <f t="shared" si="2"/>
        <v>0</v>
      </c>
      <c r="D91" s="165">
        <f t="shared" si="3"/>
        <v>0</v>
      </c>
      <c r="E91" s="166">
        <f t="shared" si="11"/>
        <v>0</v>
      </c>
      <c r="F91" s="166">
        <f t="shared" si="4"/>
        <v>0</v>
      </c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69"/>
      <c r="BU91" s="163">
        <v>80</v>
      </c>
      <c r="BV91" s="165">
        <f t="shared" si="13"/>
        <v>0</v>
      </c>
      <c r="BW91" s="165">
        <f t="shared" si="6"/>
        <v>0</v>
      </c>
      <c r="BX91" s="165">
        <f t="shared" si="7"/>
        <v>0</v>
      </c>
      <c r="BY91" s="166">
        <f t="shared" si="14"/>
        <v>0</v>
      </c>
      <c r="BZ91" s="166">
        <f t="shared" si="8"/>
        <v>0</v>
      </c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</row>
    <row r="92" spans="1:151" ht="15.75" customHeight="1">
      <c r="A92" s="163">
        <v>81</v>
      </c>
      <c r="B92" s="165">
        <f t="shared" si="10"/>
        <v>0</v>
      </c>
      <c r="C92" s="165">
        <f t="shared" si="2"/>
        <v>0</v>
      </c>
      <c r="D92" s="165">
        <f t="shared" si="3"/>
        <v>0</v>
      </c>
      <c r="E92" s="166">
        <f t="shared" si="11"/>
        <v>0</v>
      </c>
      <c r="F92" s="166">
        <f t="shared" si="4"/>
        <v>0</v>
      </c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69"/>
      <c r="BU92" s="163">
        <v>81</v>
      </c>
      <c r="BV92" s="165">
        <f t="shared" si="13"/>
        <v>0</v>
      </c>
      <c r="BW92" s="165">
        <f t="shared" si="6"/>
        <v>0</v>
      </c>
      <c r="BX92" s="165">
        <f t="shared" si="7"/>
        <v>0</v>
      </c>
      <c r="BY92" s="166">
        <f t="shared" si="14"/>
        <v>0</v>
      </c>
      <c r="BZ92" s="166">
        <f t="shared" si="8"/>
        <v>0</v>
      </c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</row>
    <row r="93" spans="1:151" ht="15.75" customHeight="1">
      <c r="A93" s="163">
        <v>82</v>
      </c>
      <c r="B93" s="165">
        <f t="shared" si="10"/>
        <v>0</v>
      </c>
      <c r="C93" s="165">
        <f t="shared" si="2"/>
        <v>0</v>
      </c>
      <c r="D93" s="165">
        <f t="shared" si="3"/>
        <v>0</v>
      </c>
      <c r="E93" s="166">
        <f t="shared" si="11"/>
        <v>0</v>
      </c>
      <c r="F93" s="166">
        <f t="shared" si="4"/>
        <v>0</v>
      </c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69"/>
      <c r="BU93" s="163">
        <v>82</v>
      </c>
      <c r="BV93" s="165">
        <f t="shared" si="13"/>
        <v>0</v>
      </c>
      <c r="BW93" s="165">
        <f t="shared" si="6"/>
        <v>0</v>
      </c>
      <c r="BX93" s="165">
        <f t="shared" si="7"/>
        <v>0</v>
      </c>
      <c r="BY93" s="166">
        <f t="shared" si="14"/>
        <v>0</v>
      </c>
      <c r="BZ93" s="166">
        <f t="shared" si="8"/>
        <v>0</v>
      </c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</row>
    <row r="94" spans="1:151" ht="15.75" customHeight="1">
      <c r="A94" s="163">
        <v>83</v>
      </c>
      <c r="B94" s="165">
        <f t="shared" si="10"/>
        <v>0</v>
      </c>
      <c r="C94" s="165">
        <f t="shared" si="2"/>
        <v>0</v>
      </c>
      <c r="D94" s="165">
        <f t="shared" si="3"/>
        <v>0</v>
      </c>
      <c r="E94" s="166">
        <f t="shared" si="11"/>
        <v>0</v>
      </c>
      <c r="F94" s="166">
        <f t="shared" si="4"/>
        <v>0</v>
      </c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69"/>
      <c r="BU94" s="163">
        <v>83</v>
      </c>
      <c r="BV94" s="165">
        <f t="shared" si="13"/>
        <v>0</v>
      </c>
      <c r="BW94" s="165">
        <f t="shared" si="6"/>
        <v>0</v>
      </c>
      <c r="BX94" s="165">
        <f t="shared" si="7"/>
        <v>0</v>
      </c>
      <c r="BY94" s="166">
        <f t="shared" si="14"/>
        <v>0</v>
      </c>
      <c r="BZ94" s="166">
        <f t="shared" si="8"/>
        <v>0</v>
      </c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</row>
    <row r="95" spans="1:151" ht="15.75" customHeight="1">
      <c r="A95" s="163">
        <v>84</v>
      </c>
      <c r="B95" s="165">
        <f t="shared" si="10"/>
        <v>0</v>
      </c>
      <c r="C95" s="165">
        <f t="shared" si="2"/>
        <v>0</v>
      </c>
      <c r="D95" s="165">
        <f t="shared" si="3"/>
        <v>0</v>
      </c>
      <c r="E95" s="166">
        <f t="shared" si="11"/>
        <v>0</v>
      </c>
      <c r="F95" s="166">
        <f t="shared" si="4"/>
        <v>0</v>
      </c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69"/>
      <c r="BU95" s="163">
        <v>84</v>
      </c>
      <c r="BV95" s="165">
        <f t="shared" si="13"/>
        <v>0</v>
      </c>
      <c r="BW95" s="165">
        <f t="shared" si="6"/>
        <v>0</v>
      </c>
      <c r="BX95" s="165">
        <f t="shared" si="7"/>
        <v>0</v>
      </c>
      <c r="BY95" s="166">
        <f t="shared" si="14"/>
        <v>0</v>
      </c>
      <c r="BZ95" s="166">
        <f t="shared" si="8"/>
        <v>0</v>
      </c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</row>
    <row r="96" spans="1:151" ht="15.75" customHeight="1">
      <c r="A96" s="163">
        <v>85</v>
      </c>
      <c r="B96" s="165">
        <f t="shared" si="10"/>
        <v>0</v>
      </c>
      <c r="C96" s="165">
        <f t="shared" si="2"/>
        <v>0</v>
      </c>
      <c r="D96" s="165">
        <f t="shared" si="3"/>
        <v>0</v>
      </c>
      <c r="E96" s="166">
        <f t="shared" si="11"/>
        <v>0</v>
      </c>
      <c r="F96" s="166">
        <f t="shared" si="4"/>
        <v>0</v>
      </c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69"/>
      <c r="BU96" s="163">
        <v>85</v>
      </c>
      <c r="BV96" s="165">
        <f t="shared" si="13"/>
        <v>0</v>
      </c>
      <c r="BW96" s="165">
        <f t="shared" si="6"/>
        <v>0</v>
      </c>
      <c r="BX96" s="165">
        <f t="shared" si="7"/>
        <v>0</v>
      </c>
      <c r="BY96" s="166">
        <f t="shared" si="14"/>
        <v>0</v>
      </c>
      <c r="BZ96" s="166">
        <f t="shared" si="8"/>
        <v>0</v>
      </c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</row>
    <row r="97" spans="1:151" ht="15.75" customHeight="1">
      <c r="A97" s="163">
        <v>86</v>
      </c>
      <c r="B97" s="165">
        <f t="shared" si="10"/>
        <v>0</v>
      </c>
      <c r="C97" s="165">
        <f t="shared" si="2"/>
        <v>0</v>
      </c>
      <c r="D97" s="165">
        <f t="shared" si="3"/>
        <v>0</v>
      </c>
      <c r="E97" s="166">
        <f t="shared" si="11"/>
        <v>0</v>
      </c>
      <c r="F97" s="166">
        <f t="shared" si="4"/>
        <v>0</v>
      </c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69"/>
      <c r="BU97" s="163">
        <v>86</v>
      </c>
      <c r="BV97" s="165">
        <f t="shared" si="13"/>
        <v>0</v>
      </c>
      <c r="BW97" s="165">
        <f t="shared" si="6"/>
        <v>0</v>
      </c>
      <c r="BX97" s="165">
        <f t="shared" si="7"/>
        <v>0</v>
      </c>
      <c r="BY97" s="166">
        <f t="shared" si="14"/>
        <v>0</v>
      </c>
      <c r="BZ97" s="166">
        <f t="shared" si="8"/>
        <v>0</v>
      </c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</row>
    <row r="98" spans="1:151" ht="15.75" customHeight="1">
      <c r="A98" s="163">
        <v>87</v>
      </c>
      <c r="B98" s="165">
        <f t="shared" si="10"/>
        <v>0</v>
      </c>
      <c r="C98" s="165">
        <f t="shared" si="2"/>
        <v>0</v>
      </c>
      <c r="D98" s="165">
        <f t="shared" si="3"/>
        <v>0</v>
      </c>
      <c r="E98" s="166">
        <f t="shared" si="11"/>
        <v>0</v>
      </c>
      <c r="F98" s="166">
        <f t="shared" si="4"/>
        <v>0</v>
      </c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69"/>
      <c r="BU98" s="163">
        <v>87</v>
      </c>
      <c r="BV98" s="165">
        <f t="shared" si="13"/>
        <v>0</v>
      </c>
      <c r="BW98" s="165">
        <f t="shared" si="6"/>
        <v>0</v>
      </c>
      <c r="BX98" s="165">
        <f t="shared" si="7"/>
        <v>0</v>
      </c>
      <c r="BY98" s="166">
        <f t="shared" si="14"/>
        <v>0</v>
      </c>
      <c r="BZ98" s="166">
        <f t="shared" si="8"/>
        <v>0</v>
      </c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</row>
    <row r="99" spans="1:151" ht="15.75" customHeight="1">
      <c r="A99" s="163">
        <v>88</v>
      </c>
      <c r="B99" s="165">
        <f t="shared" si="10"/>
        <v>0</v>
      </c>
      <c r="C99" s="165">
        <f t="shared" si="2"/>
        <v>0</v>
      </c>
      <c r="D99" s="165">
        <f t="shared" si="3"/>
        <v>0</v>
      </c>
      <c r="E99" s="166">
        <f t="shared" si="11"/>
        <v>0</v>
      </c>
      <c r="F99" s="166">
        <f t="shared" si="4"/>
        <v>0</v>
      </c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69"/>
      <c r="BU99" s="163">
        <v>88</v>
      </c>
      <c r="BV99" s="165">
        <f t="shared" si="13"/>
        <v>0</v>
      </c>
      <c r="BW99" s="165">
        <f t="shared" si="6"/>
        <v>0</v>
      </c>
      <c r="BX99" s="165">
        <f t="shared" si="7"/>
        <v>0</v>
      </c>
      <c r="BY99" s="166">
        <f t="shared" si="14"/>
        <v>0</v>
      </c>
      <c r="BZ99" s="166">
        <f t="shared" si="8"/>
        <v>0</v>
      </c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</row>
    <row r="100" spans="1:151" ht="15.75" customHeight="1">
      <c r="A100" s="163">
        <v>89</v>
      </c>
      <c r="B100" s="165">
        <f t="shared" si="10"/>
        <v>0</v>
      </c>
      <c r="C100" s="165">
        <f t="shared" si="2"/>
        <v>0</v>
      </c>
      <c r="D100" s="165">
        <f t="shared" si="3"/>
        <v>0</v>
      </c>
      <c r="E100" s="166">
        <f t="shared" si="11"/>
        <v>0</v>
      </c>
      <c r="F100" s="166">
        <f t="shared" si="4"/>
        <v>0</v>
      </c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69"/>
      <c r="BU100" s="163">
        <v>89</v>
      </c>
      <c r="BV100" s="165">
        <f t="shared" si="13"/>
        <v>0</v>
      </c>
      <c r="BW100" s="165">
        <f t="shared" si="6"/>
        <v>0</v>
      </c>
      <c r="BX100" s="165">
        <f t="shared" si="7"/>
        <v>0</v>
      </c>
      <c r="BY100" s="166">
        <f t="shared" si="14"/>
        <v>0</v>
      </c>
      <c r="BZ100" s="166">
        <f t="shared" si="8"/>
        <v>0</v>
      </c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</row>
    <row r="101" spans="1:151" ht="15.75" customHeight="1">
      <c r="A101" s="163">
        <v>90</v>
      </c>
      <c r="B101" s="165">
        <f t="shared" si="10"/>
        <v>0</v>
      </c>
      <c r="C101" s="165">
        <f t="shared" si="2"/>
        <v>0</v>
      </c>
      <c r="D101" s="165">
        <f t="shared" si="3"/>
        <v>0</v>
      </c>
      <c r="E101" s="166">
        <f t="shared" si="11"/>
        <v>0</v>
      </c>
      <c r="F101" s="166">
        <f t="shared" si="4"/>
        <v>0</v>
      </c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69"/>
      <c r="BU101" s="163">
        <v>90</v>
      </c>
      <c r="BV101" s="165">
        <f t="shared" si="13"/>
        <v>0</v>
      </c>
      <c r="BW101" s="165">
        <f t="shared" si="6"/>
        <v>0</v>
      </c>
      <c r="BX101" s="165">
        <f t="shared" si="7"/>
        <v>0</v>
      </c>
      <c r="BY101" s="166">
        <f t="shared" si="14"/>
        <v>0</v>
      </c>
      <c r="BZ101" s="166">
        <f t="shared" si="8"/>
        <v>0</v>
      </c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</row>
    <row r="102" spans="1:151" ht="15.75" customHeight="1">
      <c r="A102" s="163">
        <v>91</v>
      </c>
      <c r="B102" s="165">
        <f t="shared" si="10"/>
        <v>0</v>
      </c>
      <c r="C102" s="165">
        <f t="shared" si="2"/>
        <v>0</v>
      </c>
      <c r="D102" s="165">
        <f t="shared" si="3"/>
        <v>0</v>
      </c>
      <c r="E102" s="166">
        <f t="shared" si="11"/>
        <v>0</v>
      </c>
      <c r="F102" s="166">
        <f t="shared" si="4"/>
        <v>0</v>
      </c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69"/>
      <c r="BU102" s="163">
        <v>91</v>
      </c>
      <c r="BV102" s="165">
        <f t="shared" si="13"/>
        <v>0</v>
      </c>
      <c r="BW102" s="165">
        <f t="shared" si="6"/>
        <v>0</v>
      </c>
      <c r="BX102" s="165">
        <f t="shared" si="7"/>
        <v>0</v>
      </c>
      <c r="BY102" s="166">
        <f t="shared" si="14"/>
        <v>0</v>
      </c>
      <c r="BZ102" s="166">
        <f t="shared" si="8"/>
        <v>0</v>
      </c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</row>
    <row r="103" spans="1:151" ht="15.75" customHeight="1">
      <c r="A103" s="163">
        <v>92</v>
      </c>
      <c r="B103" s="165">
        <f t="shared" si="10"/>
        <v>0</v>
      </c>
      <c r="C103" s="165">
        <f t="shared" si="2"/>
        <v>0</v>
      </c>
      <c r="D103" s="165">
        <f t="shared" si="3"/>
        <v>0</v>
      </c>
      <c r="E103" s="166">
        <f t="shared" si="11"/>
        <v>0</v>
      </c>
      <c r="F103" s="166">
        <f t="shared" si="4"/>
        <v>0</v>
      </c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69"/>
      <c r="BU103" s="163">
        <v>92</v>
      </c>
      <c r="BV103" s="165">
        <f t="shared" si="13"/>
        <v>0</v>
      </c>
      <c r="BW103" s="165">
        <f t="shared" si="6"/>
        <v>0</v>
      </c>
      <c r="BX103" s="165">
        <f t="shared" si="7"/>
        <v>0</v>
      </c>
      <c r="BY103" s="166">
        <f t="shared" si="14"/>
        <v>0</v>
      </c>
      <c r="BZ103" s="166">
        <f t="shared" si="8"/>
        <v>0</v>
      </c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</row>
    <row r="104" spans="1:151" ht="15.75" customHeight="1">
      <c r="A104" s="163">
        <v>93</v>
      </c>
      <c r="B104" s="165">
        <f t="shared" si="10"/>
        <v>0</v>
      </c>
      <c r="C104" s="165">
        <f t="shared" si="2"/>
        <v>0</v>
      </c>
      <c r="D104" s="165">
        <f t="shared" si="3"/>
        <v>0</v>
      </c>
      <c r="E104" s="166">
        <f t="shared" si="11"/>
        <v>0</v>
      </c>
      <c r="F104" s="166">
        <f t="shared" si="4"/>
        <v>0</v>
      </c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69"/>
      <c r="BU104" s="163">
        <v>93</v>
      </c>
      <c r="BV104" s="165">
        <f t="shared" si="13"/>
        <v>0</v>
      </c>
      <c r="BW104" s="165">
        <f t="shared" si="6"/>
        <v>0</v>
      </c>
      <c r="BX104" s="165">
        <f t="shared" si="7"/>
        <v>0</v>
      </c>
      <c r="BY104" s="166">
        <f t="shared" si="14"/>
        <v>0</v>
      </c>
      <c r="BZ104" s="166">
        <f t="shared" si="8"/>
        <v>0</v>
      </c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</row>
    <row r="105" spans="1:151" ht="15.75" customHeight="1">
      <c r="A105" s="163">
        <v>94</v>
      </c>
      <c r="B105" s="165">
        <f t="shared" si="10"/>
        <v>0</v>
      </c>
      <c r="C105" s="165">
        <f t="shared" si="2"/>
        <v>0</v>
      </c>
      <c r="D105" s="165">
        <f t="shared" si="3"/>
        <v>0</v>
      </c>
      <c r="E105" s="166">
        <f t="shared" si="11"/>
        <v>0</v>
      </c>
      <c r="F105" s="166">
        <f t="shared" si="4"/>
        <v>0</v>
      </c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69"/>
      <c r="BU105" s="163">
        <v>94</v>
      </c>
      <c r="BV105" s="165">
        <f t="shared" si="13"/>
        <v>0</v>
      </c>
      <c r="BW105" s="165">
        <f t="shared" si="6"/>
        <v>0</v>
      </c>
      <c r="BX105" s="165">
        <f t="shared" si="7"/>
        <v>0</v>
      </c>
      <c r="BY105" s="166">
        <f t="shared" si="14"/>
        <v>0</v>
      </c>
      <c r="BZ105" s="166">
        <f t="shared" si="8"/>
        <v>0</v>
      </c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</row>
    <row r="106" spans="1:151" ht="15.75" customHeight="1">
      <c r="A106" s="163">
        <v>95</v>
      </c>
      <c r="B106" s="165">
        <f t="shared" si="10"/>
        <v>0</v>
      </c>
      <c r="C106" s="165">
        <f t="shared" si="2"/>
        <v>0</v>
      </c>
      <c r="D106" s="165">
        <f t="shared" si="3"/>
        <v>0</v>
      </c>
      <c r="E106" s="166">
        <f t="shared" si="11"/>
        <v>0</v>
      </c>
      <c r="F106" s="166">
        <f t="shared" si="4"/>
        <v>0</v>
      </c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69"/>
      <c r="BU106" s="163">
        <v>95</v>
      </c>
      <c r="BV106" s="165">
        <f t="shared" si="13"/>
        <v>0</v>
      </c>
      <c r="BW106" s="165">
        <f t="shared" si="6"/>
        <v>0</v>
      </c>
      <c r="BX106" s="165">
        <f t="shared" si="7"/>
        <v>0</v>
      </c>
      <c r="BY106" s="166">
        <f t="shared" si="14"/>
        <v>0</v>
      </c>
      <c r="BZ106" s="166">
        <f t="shared" si="8"/>
        <v>0</v>
      </c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</row>
    <row r="107" spans="1:151" ht="15.75" customHeight="1">
      <c r="A107" s="163">
        <v>96</v>
      </c>
      <c r="B107" s="165">
        <f t="shared" si="10"/>
        <v>0</v>
      </c>
      <c r="C107" s="165">
        <f t="shared" si="2"/>
        <v>0</v>
      </c>
      <c r="D107" s="165">
        <f t="shared" si="3"/>
        <v>0</v>
      </c>
      <c r="E107" s="166">
        <f t="shared" si="11"/>
        <v>0</v>
      </c>
      <c r="F107" s="166">
        <f t="shared" si="4"/>
        <v>0</v>
      </c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69"/>
      <c r="BU107" s="163">
        <v>96</v>
      </c>
      <c r="BV107" s="165">
        <f t="shared" si="13"/>
        <v>0</v>
      </c>
      <c r="BW107" s="165">
        <f t="shared" si="6"/>
        <v>0</v>
      </c>
      <c r="BX107" s="165">
        <f t="shared" si="7"/>
        <v>0</v>
      </c>
      <c r="BY107" s="166">
        <f t="shared" si="14"/>
        <v>0</v>
      </c>
      <c r="BZ107" s="166">
        <f t="shared" si="8"/>
        <v>0</v>
      </c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</row>
    <row r="108" spans="1:151" ht="15.75" customHeight="1">
      <c r="A108" s="163">
        <v>97</v>
      </c>
      <c r="B108" s="165">
        <f t="shared" si="10"/>
        <v>0</v>
      </c>
      <c r="C108" s="165">
        <f t="shared" si="2"/>
        <v>0</v>
      </c>
      <c r="D108" s="165">
        <f t="shared" si="3"/>
        <v>0</v>
      </c>
      <c r="E108" s="166">
        <f t="shared" si="11"/>
        <v>0</v>
      </c>
      <c r="F108" s="166">
        <f t="shared" si="4"/>
        <v>0</v>
      </c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69"/>
      <c r="BU108" s="163">
        <v>97</v>
      </c>
      <c r="BV108" s="165">
        <f t="shared" si="13"/>
        <v>0</v>
      </c>
      <c r="BW108" s="165">
        <f t="shared" si="6"/>
        <v>0</v>
      </c>
      <c r="BX108" s="165">
        <f t="shared" si="7"/>
        <v>0</v>
      </c>
      <c r="BY108" s="166">
        <f t="shared" si="14"/>
        <v>0</v>
      </c>
      <c r="BZ108" s="166">
        <f t="shared" si="8"/>
        <v>0</v>
      </c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</row>
    <row r="109" spans="1:151" ht="15.75" customHeight="1">
      <c r="A109" s="163">
        <v>98</v>
      </c>
      <c r="B109" s="165">
        <f t="shared" si="10"/>
        <v>0</v>
      </c>
      <c r="C109" s="165">
        <f t="shared" si="2"/>
        <v>0</v>
      </c>
      <c r="D109" s="165">
        <f t="shared" si="3"/>
        <v>0</v>
      </c>
      <c r="E109" s="166">
        <f t="shared" si="11"/>
        <v>0</v>
      </c>
      <c r="F109" s="166">
        <f t="shared" si="4"/>
        <v>0</v>
      </c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69"/>
      <c r="BU109" s="163">
        <v>98</v>
      </c>
      <c r="BV109" s="165">
        <f t="shared" si="13"/>
        <v>0</v>
      </c>
      <c r="BW109" s="165">
        <f t="shared" si="6"/>
        <v>0</v>
      </c>
      <c r="BX109" s="165">
        <f t="shared" si="7"/>
        <v>0</v>
      </c>
      <c r="BY109" s="166">
        <f t="shared" si="14"/>
        <v>0</v>
      </c>
      <c r="BZ109" s="166">
        <f t="shared" si="8"/>
        <v>0</v>
      </c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</row>
    <row r="110" spans="1:151" ht="15.75" customHeight="1">
      <c r="A110" s="163">
        <v>99</v>
      </c>
      <c r="B110" s="165">
        <f t="shared" si="10"/>
        <v>0</v>
      </c>
      <c r="C110" s="165">
        <f t="shared" si="2"/>
        <v>0</v>
      </c>
      <c r="D110" s="165">
        <f t="shared" si="3"/>
        <v>0</v>
      </c>
      <c r="E110" s="166">
        <f t="shared" si="11"/>
        <v>0</v>
      </c>
      <c r="F110" s="166">
        <f t="shared" si="4"/>
        <v>0</v>
      </c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69"/>
      <c r="BU110" s="163">
        <v>99</v>
      </c>
      <c r="BV110" s="165">
        <f t="shared" si="13"/>
        <v>0</v>
      </c>
      <c r="BW110" s="165">
        <f t="shared" si="6"/>
        <v>0</v>
      </c>
      <c r="BX110" s="165">
        <f t="shared" si="7"/>
        <v>0</v>
      </c>
      <c r="BY110" s="166">
        <f t="shared" si="14"/>
        <v>0</v>
      </c>
      <c r="BZ110" s="166">
        <f t="shared" si="8"/>
        <v>0</v>
      </c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</row>
    <row r="111" spans="1:151" ht="15.75" customHeight="1">
      <c r="A111" s="163">
        <v>100</v>
      </c>
      <c r="B111" s="165">
        <f t="shared" si="10"/>
        <v>0</v>
      </c>
      <c r="C111" s="165">
        <f t="shared" si="2"/>
        <v>0</v>
      </c>
      <c r="D111" s="165">
        <f t="shared" si="3"/>
        <v>0</v>
      </c>
      <c r="E111" s="166">
        <f t="shared" si="11"/>
        <v>0</v>
      </c>
      <c r="F111" s="166">
        <f t="shared" si="4"/>
        <v>0</v>
      </c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69"/>
      <c r="BU111" s="163">
        <v>100</v>
      </c>
      <c r="BV111" s="165">
        <f t="shared" si="13"/>
        <v>0</v>
      </c>
      <c r="BW111" s="165">
        <f t="shared" si="6"/>
        <v>0</v>
      </c>
      <c r="BX111" s="165">
        <f t="shared" si="7"/>
        <v>0</v>
      </c>
      <c r="BY111" s="166">
        <f t="shared" si="14"/>
        <v>0</v>
      </c>
      <c r="BZ111" s="166">
        <f t="shared" si="8"/>
        <v>0</v>
      </c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</row>
    <row r="112" spans="1:151" ht="15.75" customHeight="1">
      <c r="A112" s="163">
        <v>101</v>
      </c>
      <c r="B112" s="165">
        <f t="shared" si="10"/>
        <v>0</v>
      </c>
      <c r="C112" s="165">
        <f t="shared" si="2"/>
        <v>0</v>
      </c>
      <c r="D112" s="165">
        <f t="shared" si="3"/>
        <v>0</v>
      </c>
      <c r="E112" s="166">
        <f t="shared" si="11"/>
        <v>0</v>
      </c>
      <c r="F112" s="166">
        <f t="shared" si="4"/>
        <v>0</v>
      </c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69"/>
      <c r="BU112" s="163">
        <v>101</v>
      </c>
      <c r="BV112" s="165">
        <f t="shared" si="13"/>
        <v>0</v>
      </c>
      <c r="BW112" s="165">
        <f t="shared" si="6"/>
        <v>0</v>
      </c>
      <c r="BX112" s="165">
        <f t="shared" si="7"/>
        <v>0</v>
      </c>
      <c r="BY112" s="166">
        <f t="shared" si="14"/>
        <v>0</v>
      </c>
      <c r="BZ112" s="166">
        <f t="shared" si="8"/>
        <v>0</v>
      </c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</row>
    <row r="113" spans="1:151" ht="15.75" customHeight="1">
      <c r="A113" s="163">
        <v>102</v>
      </c>
      <c r="B113" s="165">
        <f t="shared" si="10"/>
        <v>0</v>
      </c>
      <c r="C113" s="165">
        <f t="shared" si="2"/>
        <v>0</v>
      </c>
      <c r="D113" s="165">
        <f t="shared" si="3"/>
        <v>0</v>
      </c>
      <c r="E113" s="166">
        <f t="shared" si="11"/>
        <v>0</v>
      </c>
      <c r="F113" s="166">
        <f t="shared" si="4"/>
        <v>0</v>
      </c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69"/>
      <c r="BU113" s="163">
        <v>102</v>
      </c>
      <c r="BV113" s="165">
        <f t="shared" si="13"/>
        <v>0</v>
      </c>
      <c r="BW113" s="165">
        <f t="shared" si="6"/>
        <v>0</v>
      </c>
      <c r="BX113" s="165">
        <f t="shared" si="7"/>
        <v>0</v>
      </c>
      <c r="BY113" s="166">
        <f t="shared" si="14"/>
        <v>0</v>
      </c>
      <c r="BZ113" s="166">
        <f t="shared" si="8"/>
        <v>0</v>
      </c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</row>
    <row r="114" spans="1:151" ht="15.75" customHeight="1">
      <c r="A114" s="163">
        <v>103</v>
      </c>
      <c r="B114" s="165">
        <f t="shared" si="10"/>
        <v>0</v>
      </c>
      <c r="C114" s="165">
        <f t="shared" si="2"/>
        <v>0</v>
      </c>
      <c r="D114" s="165">
        <f t="shared" si="3"/>
        <v>0</v>
      </c>
      <c r="E114" s="166">
        <f t="shared" si="11"/>
        <v>0</v>
      </c>
      <c r="F114" s="166">
        <f t="shared" si="4"/>
        <v>0</v>
      </c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69"/>
      <c r="BU114" s="163">
        <v>103</v>
      </c>
      <c r="BV114" s="165">
        <f t="shared" si="13"/>
        <v>0</v>
      </c>
      <c r="BW114" s="165">
        <f t="shared" si="6"/>
        <v>0</v>
      </c>
      <c r="BX114" s="165">
        <f t="shared" si="7"/>
        <v>0</v>
      </c>
      <c r="BY114" s="166">
        <f t="shared" si="14"/>
        <v>0</v>
      </c>
      <c r="BZ114" s="166">
        <f t="shared" si="8"/>
        <v>0</v>
      </c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</row>
    <row r="115" spans="1:151" ht="15.75" customHeight="1">
      <c r="A115" s="163">
        <v>104</v>
      </c>
      <c r="B115" s="165">
        <f t="shared" si="10"/>
        <v>0</v>
      </c>
      <c r="C115" s="165">
        <f t="shared" si="2"/>
        <v>0</v>
      </c>
      <c r="D115" s="165">
        <f t="shared" si="3"/>
        <v>0</v>
      </c>
      <c r="E115" s="166">
        <f t="shared" si="11"/>
        <v>0</v>
      </c>
      <c r="F115" s="166">
        <f t="shared" si="4"/>
        <v>0</v>
      </c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69"/>
      <c r="BU115" s="163">
        <v>104</v>
      </c>
      <c r="BV115" s="165">
        <f t="shared" si="13"/>
        <v>0</v>
      </c>
      <c r="BW115" s="165">
        <f t="shared" si="6"/>
        <v>0</v>
      </c>
      <c r="BX115" s="165">
        <f t="shared" si="7"/>
        <v>0</v>
      </c>
      <c r="BY115" s="166">
        <f t="shared" si="14"/>
        <v>0</v>
      </c>
      <c r="BZ115" s="166">
        <f t="shared" si="8"/>
        <v>0</v>
      </c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</row>
    <row r="116" spans="1:151" ht="15.75" customHeight="1">
      <c r="A116" s="163">
        <v>105</v>
      </c>
      <c r="B116" s="165">
        <f t="shared" si="10"/>
        <v>0</v>
      </c>
      <c r="C116" s="165">
        <f t="shared" si="2"/>
        <v>0</v>
      </c>
      <c r="D116" s="165">
        <f t="shared" si="3"/>
        <v>0</v>
      </c>
      <c r="E116" s="166">
        <f t="shared" si="11"/>
        <v>0</v>
      </c>
      <c r="F116" s="166">
        <f t="shared" si="4"/>
        <v>0</v>
      </c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69"/>
      <c r="BU116" s="163">
        <v>105</v>
      </c>
      <c r="BV116" s="165">
        <f t="shared" si="13"/>
        <v>0</v>
      </c>
      <c r="BW116" s="165">
        <f t="shared" si="6"/>
        <v>0</v>
      </c>
      <c r="BX116" s="165">
        <f t="shared" si="7"/>
        <v>0</v>
      </c>
      <c r="BY116" s="166">
        <f t="shared" si="14"/>
        <v>0</v>
      </c>
      <c r="BZ116" s="166">
        <f t="shared" si="8"/>
        <v>0</v>
      </c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</row>
    <row r="117" spans="1:151" ht="15.75" customHeight="1">
      <c r="A117" s="163">
        <v>106</v>
      </c>
      <c r="B117" s="165">
        <f t="shared" si="10"/>
        <v>0</v>
      </c>
      <c r="C117" s="165">
        <f t="shared" si="2"/>
        <v>0</v>
      </c>
      <c r="D117" s="165">
        <f t="shared" si="3"/>
        <v>0</v>
      </c>
      <c r="E117" s="166">
        <f t="shared" si="11"/>
        <v>0</v>
      </c>
      <c r="F117" s="166">
        <f t="shared" si="4"/>
        <v>0</v>
      </c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69"/>
      <c r="BU117" s="163">
        <v>106</v>
      </c>
      <c r="BV117" s="165">
        <f t="shared" si="13"/>
        <v>0</v>
      </c>
      <c r="BW117" s="165">
        <f t="shared" si="6"/>
        <v>0</v>
      </c>
      <c r="BX117" s="165">
        <f t="shared" si="7"/>
        <v>0</v>
      </c>
      <c r="BY117" s="166">
        <f t="shared" si="14"/>
        <v>0</v>
      </c>
      <c r="BZ117" s="166">
        <f t="shared" si="8"/>
        <v>0</v>
      </c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</row>
    <row r="118" spans="1:151" ht="15.75" customHeight="1">
      <c r="A118" s="163">
        <v>107</v>
      </c>
      <c r="B118" s="165">
        <f t="shared" si="10"/>
        <v>0</v>
      </c>
      <c r="C118" s="165">
        <f t="shared" si="2"/>
        <v>0</v>
      </c>
      <c r="D118" s="165">
        <f t="shared" si="3"/>
        <v>0</v>
      </c>
      <c r="E118" s="166">
        <f t="shared" si="11"/>
        <v>0</v>
      </c>
      <c r="F118" s="166">
        <f t="shared" si="4"/>
        <v>0</v>
      </c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69"/>
      <c r="BU118" s="163">
        <v>107</v>
      </c>
      <c r="BV118" s="165">
        <f t="shared" si="13"/>
        <v>0</v>
      </c>
      <c r="BW118" s="165">
        <f t="shared" si="6"/>
        <v>0</v>
      </c>
      <c r="BX118" s="165">
        <f t="shared" si="7"/>
        <v>0</v>
      </c>
      <c r="BY118" s="166">
        <f t="shared" si="14"/>
        <v>0</v>
      </c>
      <c r="BZ118" s="166">
        <f t="shared" si="8"/>
        <v>0</v>
      </c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</row>
    <row r="119" spans="1:151" ht="15.75" customHeight="1">
      <c r="A119" s="163">
        <v>108</v>
      </c>
      <c r="B119" s="165">
        <f t="shared" si="10"/>
        <v>0</v>
      </c>
      <c r="C119" s="165">
        <f t="shared" si="2"/>
        <v>0</v>
      </c>
      <c r="D119" s="165">
        <f t="shared" si="3"/>
        <v>0</v>
      </c>
      <c r="E119" s="166">
        <f t="shared" si="11"/>
        <v>0</v>
      </c>
      <c r="F119" s="166">
        <f t="shared" si="4"/>
        <v>0</v>
      </c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69"/>
      <c r="BU119" s="163">
        <v>108</v>
      </c>
      <c r="BV119" s="165">
        <f t="shared" si="13"/>
        <v>0</v>
      </c>
      <c r="BW119" s="165">
        <f t="shared" si="6"/>
        <v>0</v>
      </c>
      <c r="BX119" s="165">
        <f t="shared" si="7"/>
        <v>0</v>
      </c>
      <c r="BY119" s="166">
        <f t="shared" si="14"/>
        <v>0</v>
      </c>
      <c r="BZ119" s="166">
        <f t="shared" si="8"/>
        <v>0</v>
      </c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</row>
    <row r="120" spans="1:151" ht="15.75" customHeight="1">
      <c r="A120" s="163">
        <v>109</v>
      </c>
      <c r="B120" s="165">
        <f t="shared" si="10"/>
        <v>0</v>
      </c>
      <c r="C120" s="165">
        <f t="shared" si="2"/>
        <v>0</v>
      </c>
      <c r="D120" s="165">
        <f t="shared" si="3"/>
        <v>0</v>
      </c>
      <c r="E120" s="166">
        <f t="shared" si="11"/>
        <v>0</v>
      </c>
      <c r="F120" s="166">
        <f t="shared" si="4"/>
        <v>0</v>
      </c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69"/>
      <c r="BU120" s="163">
        <v>109</v>
      </c>
      <c r="BV120" s="165">
        <f t="shared" si="13"/>
        <v>0</v>
      </c>
      <c r="BW120" s="165">
        <f t="shared" si="6"/>
        <v>0</v>
      </c>
      <c r="BX120" s="165">
        <f t="shared" si="7"/>
        <v>0</v>
      </c>
      <c r="BY120" s="166">
        <f t="shared" si="14"/>
        <v>0</v>
      </c>
      <c r="BZ120" s="166">
        <f t="shared" si="8"/>
        <v>0</v>
      </c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</row>
    <row r="121" spans="1:151" ht="15.75" customHeight="1">
      <c r="A121" s="163">
        <v>110</v>
      </c>
      <c r="B121" s="165">
        <f t="shared" si="10"/>
        <v>0</v>
      </c>
      <c r="C121" s="165">
        <f t="shared" si="2"/>
        <v>0</v>
      </c>
      <c r="D121" s="165">
        <f t="shared" si="3"/>
        <v>0</v>
      </c>
      <c r="E121" s="166">
        <f t="shared" si="11"/>
        <v>0</v>
      </c>
      <c r="F121" s="166">
        <f t="shared" si="4"/>
        <v>0</v>
      </c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69"/>
      <c r="BU121" s="163">
        <v>110</v>
      </c>
      <c r="BV121" s="165">
        <f t="shared" si="13"/>
        <v>0</v>
      </c>
      <c r="BW121" s="165">
        <f t="shared" si="6"/>
        <v>0</v>
      </c>
      <c r="BX121" s="165">
        <f t="shared" si="7"/>
        <v>0</v>
      </c>
      <c r="BY121" s="166">
        <f t="shared" si="14"/>
        <v>0</v>
      </c>
      <c r="BZ121" s="166">
        <f t="shared" si="8"/>
        <v>0</v>
      </c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</row>
    <row r="122" spans="1:151" ht="15.75" customHeight="1">
      <c r="A122" s="163">
        <v>111</v>
      </c>
      <c r="B122" s="165">
        <f t="shared" si="10"/>
        <v>0</v>
      </c>
      <c r="C122" s="165">
        <f t="shared" si="2"/>
        <v>0</v>
      </c>
      <c r="D122" s="165">
        <f t="shared" si="3"/>
        <v>0</v>
      </c>
      <c r="E122" s="166">
        <f t="shared" si="11"/>
        <v>0</v>
      </c>
      <c r="F122" s="166">
        <f t="shared" si="4"/>
        <v>0</v>
      </c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69"/>
      <c r="BU122" s="163">
        <v>111</v>
      </c>
      <c r="BV122" s="165">
        <f t="shared" si="13"/>
        <v>0</v>
      </c>
      <c r="BW122" s="165">
        <f t="shared" si="6"/>
        <v>0</v>
      </c>
      <c r="BX122" s="165">
        <f t="shared" si="7"/>
        <v>0</v>
      </c>
      <c r="BY122" s="166">
        <f t="shared" si="14"/>
        <v>0</v>
      </c>
      <c r="BZ122" s="166">
        <f t="shared" si="8"/>
        <v>0</v>
      </c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</row>
    <row r="123" spans="1:151" ht="15.75" customHeight="1">
      <c r="A123" s="163">
        <v>112</v>
      </c>
      <c r="B123" s="165">
        <f t="shared" si="10"/>
        <v>0</v>
      </c>
      <c r="C123" s="165">
        <f t="shared" si="2"/>
        <v>0</v>
      </c>
      <c r="D123" s="165">
        <f t="shared" si="3"/>
        <v>0</v>
      </c>
      <c r="E123" s="166">
        <f t="shared" si="11"/>
        <v>0</v>
      </c>
      <c r="F123" s="166">
        <f t="shared" si="4"/>
        <v>0</v>
      </c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69"/>
      <c r="BU123" s="163">
        <v>112</v>
      </c>
      <c r="BV123" s="165">
        <f t="shared" si="13"/>
        <v>0</v>
      </c>
      <c r="BW123" s="165">
        <f t="shared" si="6"/>
        <v>0</v>
      </c>
      <c r="BX123" s="165">
        <f t="shared" si="7"/>
        <v>0</v>
      </c>
      <c r="BY123" s="166">
        <f t="shared" si="14"/>
        <v>0</v>
      </c>
      <c r="BZ123" s="166">
        <f t="shared" si="8"/>
        <v>0</v>
      </c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</row>
    <row r="124" spans="1:151" ht="15.75" customHeight="1">
      <c r="A124" s="163">
        <v>113</v>
      </c>
      <c r="B124" s="165">
        <f t="shared" si="10"/>
        <v>0</v>
      </c>
      <c r="C124" s="165">
        <f t="shared" si="2"/>
        <v>0</v>
      </c>
      <c r="D124" s="165">
        <f t="shared" si="3"/>
        <v>0</v>
      </c>
      <c r="E124" s="166">
        <f t="shared" si="11"/>
        <v>0</v>
      </c>
      <c r="F124" s="166">
        <f t="shared" si="4"/>
        <v>0</v>
      </c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69"/>
      <c r="BU124" s="163">
        <v>113</v>
      </c>
      <c r="BV124" s="165">
        <f t="shared" si="13"/>
        <v>0</v>
      </c>
      <c r="BW124" s="165">
        <f t="shared" si="6"/>
        <v>0</v>
      </c>
      <c r="BX124" s="165">
        <f t="shared" si="7"/>
        <v>0</v>
      </c>
      <c r="BY124" s="166">
        <f t="shared" si="14"/>
        <v>0</v>
      </c>
      <c r="BZ124" s="166">
        <f t="shared" si="8"/>
        <v>0</v>
      </c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</row>
    <row r="125" spans="1:151" ht="15.75" customHeight="1">
      <c r="A125" s="163">
        <v>114</v>
      </c>
      <c r="B125" s="165">
        <f t="shared" si="10"/>
        <v>0</v>
      </c>
      <c r="C125" s="165">
        <f t="shared" si="2"/>
        <v>0</v>
      </c>
      <c r="D125" s="165">
        <f t="shared" si="3"/>
        <v>0</v>
      </c>
      <c r="E125" s="166">
        <f t="shared" si="11"/>
        <v>0</v>
      </c>
      <c r="F125" s="166">
        <f t="shared" si="4"/>
        <v>0</v>
      </c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69"/>
      <c r="BU125" s="163">
        <v>114</v>
      </c>
      <c r="BV125" s="165">
        <f t="shared" si="13"/>
        <v>0</v>
      </c>
      <c r="BW125" s="165">
        <f t="shared" si="6"/>
        <v>0</v>
      </c>
      <c r="BX125" s="165">
        <f t="shared" si="7"/>
        <v>0</v>
      </c>
      <c r="BY125" s="166">
        <f t="shared" si="14"/>
        <v>0</v>
      </c>
      <c r="BZ125" s="166">
        <f t="shared" si="8"/>
        <v>0</v>
      </c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</row>
    <row r="126" spans="1:151" ht="15.75" customHeight="1">
      <c r="A126" s="163">
        <v>115</v>
      </c>
      <c r="B126" s="165">
        <f t="shared" si="10"/>
        <v>0</v>
      </c>
      <c r="C126" s="165">
        <f t="shared" si="2"/>
        <v>0</v>
      </c>
      <c r="D126" s="165">
        <f t="shared" si="3"/>
        <v>0</v>
      </c>
      <c r="E126" s="166">
        <f t="shared" si="11"/>
        <v>0</v>
      </c>
      <c r="F126" s="166">
        <f t="shared" si="4"/>
        <v>0</v>
      </c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69"/>
      <c r="BU126" s="163">
        <v>115</v>
      </c>
      <c r="BV126" s="165">
        <f t="shared" si="13"/>
        <v>0</v>
      </c>
      <c r="BW126" s="165">
        <f t="shared" si="6"/>
        <v>0</v>
      </c>
      <c r="BX126" s="165">
        <f t="shared" si="7"/>
        <v>0</v>
      </c>
      <c r="BY126" s="166">
        <f t="shared" si="14"/>
        <v>0</v>
      </c>
      <c r="BZ126" s="166">
        <f t="shared" si="8"/>
        <v>0</v>
      </c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</row>
    <row r="127" spans="1:151" ht="15.75" customHeight="1">
      <c r="A127" s="163">
        <v>116</v>
      </c>
      <c r="B127" s="165">
        <f t="shared" si="10"/>
        <v>0</v>
      </c>
      <c r="C127" s="165">
        <f t="shared" si="2"/>
        <v>0</v>
      </c>
      <c r="D127" s="165">
        <f t="shared" si="3"/>
        <v>0</v>
      </c>
      <c r="E127" s="166">
        <f t="shared" si="11"/>
        <v>0</v>
      </c>
      <c r="F127" s="166">
        <f t="shared" si="4"/>
        <v>0</v>
      </c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69"/>
      <c r="BU127" s="163">
        <v>116</v>
      </c>
      <c r="BV127" s="165">
        <f t="shared" si="13"/>
        <v>0</v>
      </c>
      <c r="BW127" s="165">
        <f t="shared" si="6"/>
        <v>0</v>
      </c>
      <c r="BX127" s="165">
        <f t="shared" si="7"/>
        <v>0</v>
      </c>
      <c r="BY127" s="166">
        <f t="shared" si="14"/>
        <v>0</v>
      </c>
      <c r="BZ127" s="166">
        <f t="shared" si="8"/>
        <v>0</v>
      </c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</row>
    <row r="128" spans="1:151" ht="15.75" customHeight="1">
      <c r="A128" s="163">
        <v>117</v>
      </c>
      <c r="B128" s="165">
        <f t="shared" si="10"/>
        <v>0</v>
      </c>
      <c r="C128" s="165">
        <f t="shared" si="2"/>
        <v>0</v>
      </c>
      <c r="D128" s="165">
        <f t="shared" si="3"/>
        <v>0</v>
      </c>
      <c r="E128" s="166">
        <f t="shared" si="11"/>
        <v>0</v>
      </c>
      <c r="F128" s="166">
        <f t="shared" si="4"/>
        <v>0</v>
      </c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69"/>
      <c r="BU128" s="163">
        <v>117</v>
      </c>
      <c r="BV128" s="165">
        <f t="shared" si="13"/>
        <v>0</v>
      </c>
      <c r="BW128" s="165">
        <f t="shared" si="6"/>
        <v>0</v>
      </c>
      <c r="BX128" s="165">
        <f t="shared" si="7"/>
        <v>0</v>
      </c>
      <c r="BY128" s="166">
        <f t="shared" si="14"/>
        <v>0</v>
      </c>
      <c r="BZ128" s="166">
        <f t="shared" si="8"/>
        <v>0</v>
      </c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</row>
    <row r="129" spans="1:151" ht="15.75" customHeight="1">
      <c r="A129" s="163">
        <v>118</v>
      </c>
      <c r="B129" s="165">
        <f t="shared" si="10"/>
        <v>0</v>
      </c>
      <c r="C129" s="165">
        <f t="shared" si="2"/>
        <v>0</v>
      </c>
      <c r="D129" s="165">
        <f t="shared" si="3"/>
        <v>0</v>
      </c>
      <c r="E129" s="166">
        <f t="shared" si="11"/>
        <v>0</v>
      </c>
      <c r="F129" s="166">
        <f t="shared" si="4"/>
        <v>0</v>
      </c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69"/>
      <c r="BU129" s="163">
        <v>118</v>
      </c>
      <c r="BV129" s="165">
        <f t="shared" si="13"/>
        <v>0</v>
      </c>
      <c r="BW129" s="165">
        <f t="shared" si="6"/>
        <v>0</v>
      </c>
      <c r="BX129" s="165">
        <f t="shared" si="7"/>
        <v>0</v>
      </c>
      <c r="BY129" s="166">
        <f t="shared" si="14"/>
        <v>0</v>
      </c>
      <c r="BZ129" s="166">
        <f t="shared" si="8"/>
        <v>0</v>
      </c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</row>
    <row r="130" spans="1:151" ht="15.75" customHeight="1">
      <c r="A130" s="163">
        <v>119</v>
      </c>
      <c r="B130" s="165">
        <f t="shared" si="10"/>
        <v>0</v>
      </c>
      <c r="C130" s="165">
        <f t="shared" si="2"/>
        <v>0</v>
      </c>
      <c r="D130" s="165">
        <f t="shared" si="3"/>
        <v>0</v>
      </c>
      <c r="E130" s="166">
        <f t="shared" si="11"/>
        <v>0</v>
      </c>
      <c r="F130" s="166">
        <f t="shared" si="4"/>
        <v>0</v>
      </c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69"/>
      <c r="BU130" s="163">
        <v>119</v>
      </c>
      <c r="BV130" s="165">
        <f t="shared" si="13"/>
        <v>0</v>
      </c>
      <c r="BW130" s="165">
        <f t="shared" si="6"/>
        <v>0</v>
      </c>
      <c r="BX130" s="165">
        <f t="shared" si="7"/>
        <v>0</v>
      </c>
      <c r="BY130" s="166">
        <f t="shared" si="14"/>
        <v>0</v>
      </c>
      <c r="BZ130" s="166">
        <f t="shared" si="8"/>
        <v>0</v>
      </c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</row>
    <row r="131" spans="1:151" ht="15.75" customHeight="1">
      <c r="A131" s="163">
        <v>120</v>
      </c>
      <c r="B131" s="165">
        <f t="shared" si="10"/>
        <v>0</v>
      </c>
      <c r="C131" s="165">
        <f t="shared" si="2"/>
        <v>0</v>
      </c>
      <c r="D131" s="165">
        <f t="shared" si="3"/>
        <v>0</v>
      </c>
      <c r="E131" s="166">
        <f t="shared" si="11"/>
        <v>0</v>
      </c>
      <c r="F131" s="166">
        <f t="shared" si="4"/>
        <v>0</v>
      </c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69"/>
      <c r="BU131" s="163">
        <v>120</v>
      </c>
      <c r="BV131" s="165">
        <f t="shared" si="13"/>
        <v>0</v>
      </c>
      <c r="BW131" s="165">
        <f t="shared" si="6"/>
        <v>0</v>
      </c>
      <c r="BX131" s="165">
        <f t="shared" si="7"/>
        <v>0</v>
      </c>
      <c r="BY131" s="166">
        <f t="shared" si="14"/>
        <v>0</v>
      </c>
      <c r="BZ131" s="166">
        <f t="shared" si="8"/>
        <v>0</v>
      </c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</row>
    <row r="132" spans="1:151" ht="15.75" customHeight="1">
      <c r="A132" s="163"/>
      <c r="B132" s="163"/>
      <c r="C132" s="163"/>
      <c r="D132" s="165">
        <f>SUM(D12:D131)</f>
        <v>0</v>
      </c>
      <c r="E132" s="163"/>
      <c r="F132" s="163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63"/>
      <c r="BU132" s="163"/>
      <c r="BV132" s="163"/>
      <c r="BW132" s="163"/>
      <c r="BX132" s="165">
        <f>SUM(BX12:BX131)</f>
        <v>0</v>
      </c>
      <c r="BY132" s="163"/>
      <c r="BZ132" s="163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</row>
    <row r="133" spans="1:151" ht="15.75" customHeight="1"/>
    <row r="134" spans="1:151" ht="15.75" customHeight="1"/>
    <row r="135" spans="1:151" ht="15.75" customHeight="1"/>
    <row r="136" spans="1:151" ht="15.75" customHeight="1"/>
    <row r="137" spans="1:151" ht="15.75" customHeight="1"/>
    <row r="138" spans="1:151" ht="15.75" customHeight="1"/>
    <row r="139" spans="1:151" ht="15.75" customHeight="1"/>
    <row r="140" spans="1:151" ht="15.75" customHeight="1"/>
    <row r="141" spans="1:151" ht="15.75" customHeight="1"/>
    <row r="142" spans="1:151" ht="15.75" customHeight="1"/>
    <row r="143" spans="1:151" ht="15.75" customHeight="1"/>
    <row r="144" spans="1:151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sheetProtection sheet="1"/>
  <mergeCells count="2">
    <mergeCell ref="E10:F10"/>
    <mergeCell ref="BY10:BZ10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Q1000"/>
  <sheetViews>
    <sheetView workbookViewId="0">
      <pane xSplit="5" ySplit="6" topLeftCell="F19" activePane="bottomRight" state="frozen"/>
      <selection pane="topRight" activeCell="F1" sqref="F1"/>
      <selection pane="bottomLeft" activeCell="A7" sqref="A7"/>
      <selection pane="bottomRight" activeCell="Q36" sqref="Q36"/>
    </sheetView>
  </sheetViews>
  <sheetFormatPr defaultColWidth="14.453125" defaultRowHeight="15" customHeight="1"/>
  <cols>
    <col min="1" max="4" width="3.7265625" customWidth="1"/>
    <col min="5" max="5" width="31.7265625" customWidth="1"/>
    <col min="6" max="6" width="10.54296875" bestFit="1" customWidth="1"/>
    <col min="7" max="8" width="11.26953125" bestFit="1" customWidth="1"/>
    <col min="9" max="17" width="12.26953125" bestFit="1" customWidth="1"/>
    <col min="18" max="43" width="11.7265625" customWidth="1"/>
    <col min="44" max="44" width="8.7265625" customWidth="1"/>
    <col min="45" max="56" width="11.7265625" customWidth="1"/>
    <col min="57" max="57" width="9.1796875" customWidth="1"/>
    <col min="58" max="69" width="11.7265625" customWidth="1"/>
  </cols>
  <sheetData>
    <row r="1" spans="1:69" ht="14.5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ht="14.5">
      <c r="A2" s="1" t="s">
        <v>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</row>
    <row r="4" spans="1:69" ht="14.5">
      <c r="A4" s="11"/>
      <c r="B4" s="11"/>
      <c r="C4" s="11"/>
      <c r="D4" s="11"/>
      <c r="E4" s="11"/>
      <c r="F4" s="31"/>
      <c r="G4" s="32"/>
      <c r="H4" s="32"/>
      <c r="I4" s="32"/>
      <c r="J4" s="32"/>
      <c r="K4" s="32"/>
      <c r="L4" s="33" t="s">
        <v>98</v>
      </c>
      <c r="M4" s="32"/>
      <c r="N4" s="32"/>
      <c r="O4" s="32"/>
      <c r="P4" s="32"/>
      <c r="Q4" s="34"/>
      <c r="R4" s="2"/>
      <c r="S4" s="31"/>
      <c r="T4" s="32"/>
      <c r="U4" s="32"/>
      <c r="V4" s="32"/>
      <c r="W4" s="32"/>
      <c r="X4" s="32"/>
      <c r="Y4" s="33" t="s">
        <v>99</v>
      </c>
      <c r="Z4" s="32"/>
      <c r="AA4" s="32"/>
      <c r="AB4" s="32"/>
      <c r="AC4" s="32"/>
      <c r="AD4" s="34"/>
      <c r="AE4" s="2"/>
      <c r="AF4" s="31"/>
      <c r="AG4" s="32"/>
      <c r="AH4" s="32"/>
      <c r="AI4" s="32"/>
      <c r="AJ4" s="32"/>
      <c r="AK4" s="32"/>
      <c r="AL4" s="33" t="s">
        <v>100</v>
      </c>
      <c r="AM4" s="32"/>
      <c r="AN4" s="32"/>
      <c r="AO4" s="32"/>
      <c r="AP4" s="32"/>
      <c r="AQ4" s="34"/>
      <c r="AS4" s="31"/>
      <c r="AT4" s="32"/>
      <c r="AU4" s="32"/>
      <c r="AV4" s="32"/>
      <c r="AW4" s="32"/>
      <c r="AX4" s="32"/>
      <c r="AY4" s="33" t="s">
        <v>101</v>
      </c>
      <c r="AZ4" s="32"/>
      <c r="BA4" s="32"/>
      <c r="BB4" s="32"/>
      <c r="BC4" s="32"/>
      <c r="BD4" s="34"/>
      <c r="BE4" s="2"/>
      <c r="BF4" s="31"/>
      <c r="BG4" s="32"/>
      <c r="BH4" s="32"/>
      <c r="BI4" s="32"/>
      <c r="BJ4" s="32"/>
      <c r="BK4" s="32"/>
      <c r="BL4" s="33" t="s">
        <v>102</v>
      </c>
      <c r="BM4" s="32"/>
      <c r="BN4" s="32"/>
      <c r="BO4" s="32"/>
      <c r="BP4" s="32"/>
      <c r="BQ4" s="34"/>
    </row>
    <row r="5" spans="1:69" ht="14.5">
      <c r="A5" s="1"/>
      <c r="B5" s="1"/>
      <c r="C5" s="1"/>
      <c r="D5" s="1"/>
      <c r="E5" s="1"/>
      <c r="F5" s="35" t="s">
        <v>103</v>
      </c>
      <c r="G5" s="36" t="s">
        <v>104</v>
      </c>
      <c r="H5" s="36" t="s">
        <v>105</v>
      </c>
      <c r="I5" s="35" t="s">
        <v>106</v>
      </c>
      <c r="J5" s="36" t="s">
        <v>107</v>
      </c>
      <c r="K5" s="36" t="s">
        <v>108</v>
      </c>
      <c r="L5" s="35" t="s">
        <v>109</v>
      </c>
      <c r="M5" s="36" t="s">
        <v>110</v>
      </c>
      <c r="N5" s="36" t="s">
        <v>111</v>
      </c>
      <c r="O5" s="35" t="s">
        <v>112</v>
      </c>
      <c r="P5" s="36" t="s">
        <v>113</v>
      </c>
      <c r="Q5" s="36" t="s">
        <v>114</v>
      </c>
      <c r="R5" s="2"/>
      <c r="S5" s="35" t="s">
        <v>103</v>
      </c>
      <c r="T5" s="36" t="s">
        <v>104</v>
      </c>
      <c r="U5" s="36" t="s">
        <v>105</v>
      </c>
      <c r="V5" s="35" t="s">
        <v>106</v>
      </c>
      <c r="W5" s="36" t="s">
        <v>107</v>
      </c>
      <c r="X5" s="36" t="s">
        <v>108</v>
      </c>
      <c r="Y5" s="35" t="s">
        <v>109</v>
      </c>
      <c r="Z5" s="36" t="s">
        <v>110</v>
      </c>
      <c r="AA5" s="36" t="s">
        <v>111</v>
      </c>
      <c r="AB5" s="35" t="s">
        <v>112</v>
      </c>
      <c r="AC5" s="36" t="s">
        <v>113</v>
      </c>
      <c r="AD5" s="36" t="s">
        <v>114</v>
      </c>
      <c r="AE5" s="2"/>
      <c r="AF5" s="35" t="s">
        <v>103</v>
      </c>
      <c r="AG5" s="36" t="s">
        <v>104</v>
      </c>
      <c r="AH5" s="36" t="s">
        <v>105</v>
      </c>
      <c r="AI5" s="35" t="s">
        <v>106</v>
      </c>
      <c r="AJ5" s="36" t="s">
        <v>107</v>
      </c>
      <c r="AK5" s="36" t="s">
        <v>108</v>
      </c>
      <c r="AL5" s="35" t="s">
        <v>109</v>
      </c>
      <c r="AM5" s="36" t="s">
        <v>110</v>
      </c>
      <c r="AN5" s="36" t="s">
        <v>111</v>
      </c>
      <c r="AO5" s="35" t="s">
        <v>112</v>
      </c>
      <c r="AP5" s="36" t="s">
        <v>113</v>
      </c>
      <c r="AQ5" s="36" t="s">
        <v>114</v>
      </c>
      <c r="AS5" s="35" t="s">
        <v>103</v>
      </c>
      <c r="AT5" s="36" t="s">
        <v>104</v>
      </c>
      <c r="AU5" s="36" t="s">
        <v>105</v>
      </c>
      <c r="AV5" s="35" t="s">
        <v>106</v>
      </c>
      <c r="AW5" s="36" t="s">
        <v>107</v>
      </c>
      <c r="AX5" s="36" t="s">
        <v>108</v>
      </c>
      <c r="AY5" s="35" t="s">
        <v>109</v>
      </c>
      <c r="AZ5" s="36" t="s">
        <v>110</v>
      </c>
      <c r="BA5" s="36" t="s">
        <v>111</v>
      </c>
      <c r="BB5" s="35" t="s">
        <v>112</v>
      </c>
      <c r="BC5" s="36" t="s">
        <v>113</v>
      </c>
      <c r="BD5" s="36" t="s">
        <v>114</v>
      </c>
      <c r="BE5" s="2"/>
      <c r="BF5" s="35" t="s">
        <v>103</v>
      </c>
      <c r="BG5" s="36" t="s">
        <v>104</v>
      </c>
      <c r="BH5" s="36" t="s">
        <v>105</v>
      </c>
      <c r="BI5" s="35" t="s">
        <v>106</v>
      </c>
      <c r="BJ5" s="36" t="s">
        <v>107</v>
      </c>
      <c r="BK5" s="36" t="s">
        <v>108</v>
      </c>
      <c r="BL5" s="35" t="s">
        <v>109</v>
      </c>
      <c r="BM5" s="36" t="s">
        <v>110</v>
      </c>
      <c r="BN5" s="36" t="s">
        <v>111</v>
      </c>
      <c r="BO5" s="35" t="s">
        <v>112</v>
      </c>
      <c r="BP5" s="36" t="s">
        <v>113</v>
      </c>
      <c r="BQ5" s="36" t="s">
        <v>114</v>
      </c>
    </row>
    <row r="6" spans="1:69" ht="14.5">
      <c r="A6" s="1" t="s">
        <v>7</v>
      </c>
      <c r="B6" s="2"/>
      <c r="C6" s="2"/>
      <c r="D6" s="2"/>
      <c r="E6" s="2"/>
      <c r="F6" s="3">
        <v>1</v>
      </c>
      <c r="G6" s="3">
        <v>2</v>
      </c>
      <c r="H6" s="3">
        <v>3</v>
      </c>
      <c r="I6" s="3">
        <v>4</v>
      </c>
      <c r="J6" s="3">
        <v>5</v>
      </c>
      <c r="K6" s="3">
        <v>6</v>
      </c>
      <c r="L6" s="3">
        <v>7</v>
      </c>
      <c r="M6" s="3">
        <v>8</v>
      </c>
      <c r="N6" s="3">
        <v>9</v>
      </c>
      <c r="O6" s="3">
        <v>10</v>
      </c>
      <c r="P6" s="3">
        <v>11</v>
      </c>
      <c r="Q6" s="3">
        <v>12</v>
      </c>
      <c r="R6" s="37"/>
      <c r="S6" s="3">
        <v>13</v>
      </c>
      <c r="T6" s="3">
        <v>14</v>
      </c>
      <c r="U6" s="3">
        <v>15</v>
      </c>
      <c r="V6" s="3">
        <v>16</v>
      </c>
      <c r="W6" s="3">
        <v>17</v>
      </c>
      <c r="X6" s="3">
        <v>18</v>
      </c>
      <c r="Y6" s="3">
        <v>19</v>
      </c>
      <c r="Z6" s="3">
        <v>20</v>
      </c>
      <c r="AA6" s="3">
        <v>21</v>
      </c>
      <c r="AB6" s="3">
        <v>22</v>
      </c>
      <c r="AC6" s="3">
        <v>23</v>
      </c>
      <c r="AD6" s="3">
        <v>24</v>
      </c>
      <c r="AE6" s="37"/>
      <c r="AF6" s="3">
        <v>25</v>
      </c>
      <c r="AG6" s="3">
        <v>26</v>
      </c>
      <c r="AH6" s="3">
        <v>27</v>
      </c>
      <c r="AI6" s="3">
        <v>28</v>
      </c>
      <c r="AJ6" s="3">
        <v>29</v>
      </c>
      <c r="AK6" s="3">
        <v>30</v>
      </c>
      <c r="AL6" s="3">
        <v>31</v>
      </c>
      <c r="AM6" s="3">
        <v>32</v>
      </c>
      <c r="AN6" s="3">
        <v>33</v>
      </c>
      <c r="AO6" s="3">
        <v>34</v>
      </c>
      <c r="AP6" s="3">
        <v>35</v>
      </c>
      <c r="AQ6" s="3">
        <v>36</v>
      </c>
      <c r="AS6" s="3">
        <v>37</v>
      </c>
      <c r="AT6" s="3">
        <v>38</v>
      </c>
      <c r="AU6" s="3">
        <v>39</v>
      </c>
      <c r="AV6" s="3">
        <v>40</v>
      </c>
      <c r="AW6" s="3">
        <v>41</v>
      </c>
      <c r="AX6" s="3">
        <v>42</v>
      </c>
      <c r="AY6" s="3">
        <v>43</v>
      </c>
      <c r="AZ6" s="3">
        <v>44</v>
      </c>
      <c r="BA6" s="3">
        <v>45</v>
      </c>
      <c r="BB6" s="3">
        <v>46</v>
      </c>
      <c r="BC6" s="3">
        <v>47</v>
      </c>
      <c r="BD6" s="3">
        <v>48</v>
      </c>
      <c r="BE6" s="2"/>
      <c r="BF6" s="3">
        <v>49</v>
      </c>
      <c r="BG6" s="3">
        <v>50</v>
      </c>
      <c r="BH6" s="3">
        <v>51</v>
      </c>
      <c r="BI6" s="3">
        <v>52</v>
      </c>
      <c r="BJ6" s="3">
        <v>53</v>
      </c>
      <c r="BK6" s="3">
        <v>54</v>
      </c>
      <c r="BL6" s="3">
        <v>55</v>
      </c>
      <c r="BM6" s="3">
        <v>56</v>
      </c>
      <c r="BN6" s="3">
        <v>57</v>
      </c>
      <c r="BO6" s="3">
        <v>58</v>
      </c>
      <c r="BP6" s="3">
        <v>59</v>
      </c>
      <c r="BQ6" s="3">
        <v>60</v>
      </c>
    </row>
    <row r="7" spans="1:69" ht="14.5">
      <c r="A7" s="2"/>
      <c r="B7" s="1" t="s">
        <v>8</v>
      </c>
      <c r="C7" s="16"/>
      <c r="D7" s="16"/>
      <c r="E7" s="1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2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</row>
    <row r="8" spans="1:69" ht="14.5">
      <c r="A8" s="2"/>
      <c r="B8" s="2"/>
      <c r="C8" s="2" t="s">
        <v>9</v>
      </c>
      <c r="D8" s="2"/>
      <c r="E8" s="2"/>
      <c r="F8" s="3">
        <f>SOCF!G43</f>
        <v>71982.070498255169</v>
      </c>
      <c r="G8" s="3">
        <f>SOCF!H43</f>
        <v>104649.57703493358</v>
      </c>
      <c r="H8" s="3">
        <f>SOCF!I43</f>
        <v>101024.18114405779</v>
      </c>
      <c r="I8" s="3">
        <f>SOCF!J43</f>
        <v>107804.68138228303</v>
      </c>
      <c r="J8" s="3">
        <f>SOCF!K43</f>
        <v>129660.94211455566</v>
      </c>
      <c r="K8" s="3">
        <f>SOCF!L43</f>
        <v>144814.53154112727</v>
      </c>
      <c r="L8" s="3">
        <f>SOCF!M43</f>
        <v>136485.43603619514</v>
      </c>
      <c r="M8" s="3">
        <f>SOCF!N43</f>
        <v>158017.55191545835</v>
      </c>
      <c r="N8" s="3">
        <f>SOCF!O43</f>
        <v>181164.59133889287</v>
      </c>
      <c r="O8" s="3">
        <f>SOCF!P43</f>
        <v>180216.11022122687</v>
      </c>
      <c r="P8" s="3">
        <f>SOCF!Q43</f>
        <v>184754.46845978269</v>
      </c>
      <c r="Q8" s="3">
        <f>SOCF!R43</f>
        <v>108050.26959009962</v>
      </c>
      <c r="R8" s="3"/>
      <c r="S8" s="3">
        <f>SOCF!T43</f>
        <v>86422.541227290785</v>
      </c>
      <c r="T8" s="3">
        <f>SOCF!U43</f>
        <v>82830.829224916204</v>
      </c>
      <c r="U8" s="3">
        <f>SOCF!V43</f>
        <v>93737.958245714544</v>
      </c>
      <c r="V8" s="3">
        <f>SOCF!W43</f>
        <v>102161.30143199593</v>
      </c>
      <c r="W8" s="3">
        <f>SOCF!X43</f>
        <v>127762.27473257922</v>
      </c>
      <c r="X8" s="3">
        <f>SOCF!Y43</f>
        <v>145922.83211587172</v>
      </c>
      <c r="Y8" s="3">
        <f>SOCF!Z43</f>
        <v>136945.30119912303</v>
      </c>
      <c r="Z8" s="3">
        <f>SOCF!AA43</f>
        <v>161702.12168500523</v>
      </c>
      <c r="AA8" s="3">
        <f>SOCF!AB43</f>
        <v>189009.35721038986</v>
      </c>
      <c r="AB8" s="3">
        <f>SOCF!AC43</f>
        <v>188450.27286340346</v>
      </c>
      <c r="AC8" s="3">
        <f>SOCF!AD43</f>
        <v>194567.08842649416</v>
      </c>
      <c r="AD8" s="3">
        <f>SOCF!AE43</f>
        <v>92762.340008063649</v>
      </c>
      <c r="AE8" s="3"/>
      <c r="AF8" s="3">
        <f>SOCF!AG43</f>
        <v>68572.516566932201</v>
      </c>
      <c r="AG8" s="3">
        <f>SOCF!AH43</f>
        <v>65012.131930541116</v>
      </c>
      <c r="AH8" s="3">
        <f>SOCF!AI43</f>
        <v>78177.331123040145</v>
      </c>
      <c r="AI8" s="3">
        <f>SOCF!AJ43</f>
        <v>88514.725573778356</v>
      </c>
      <c r="AJ8" s="3">
        <f>SOCF!AK43</f>
        <v>118533.94848302501</v>
      </c>
      <c r="AK8" s="3">
        <f>SOCF!AL43</f>
        <v>140036.68064108881</v>
      </c>
      <c r="AL8" s="3">
        <f>SOCF!AM43</f>
        <v>130474.29751939481</v>
      </c>
      <c r="AM8" s="3">
        <f>SOCF!AN43</f>
        <v>159530.23246511695</v>
      </c>
      <c r="AN8" s="3">
        <f>SOCF!AO43</f>
        <v>191496.22714238131</v>
      </c>
      <c r="AO8" s="3">
        <f>SOCF!AP43</f>
        <v>191615.1342442095</v>
      </c>
      <c r="AP8" s="3">
        <f>SOCF!AQ43</f>
        <v>199336.52258198077</v>
      </c>
      <c r="AQ8" s="3">
        <f>SOCF!AR43</f>
        <v>97887.69370693255</v>
      </c>
      <c r="AS8" s="3">
        <f>SOCF!AT43</f>
        <v>70469.276648232146</v>
      </c>
      <c r="AT8" s="3">
        <f>SOCF!AU43</f>
        <v>65518.076883389193</v>
      </c>
      <c r="AU8" s="3">
        <f>SOCF!AV43</f>
        <v>79349.449156140472</v>
      </c>
      <c r="AV8" s="3">
        <f>SOCF!AW43</f>
        <v>90199.909028029273</v>
      </c>
      <c r="AW8" s="3">
        <f>SOCF!AX43</f>
        <v>121688.47641971745</v>
      </c>
      <c r="AX8" s="3">
        <f>SOCF!AY43</f>
        <v>144247.83773003164</v>
      </c>
      <c r="AY8" s="3">
        <f>SOCF!AZ43</f>
        <v>134215.7079681748</v>
      </c>
      <c r="AZ8" s="3">
        <f>SOCF!BA43</f>
        <v>164696.90634511327</v>
      </c>
      <c r="BA8" s="3">
        <f>SOCF!BB43</f>
        <v>198238.26914018611</v>
      </c>
      <c r="BB8" s="3">
        <f>SOCF!BC43</f>
        <v>198317.27607511729</v>
      </c>
      <c r="BC8" s="3">
        <f>SOCF!BD43</f>
        <v>206417.02630608241</v>
      </c>
      <c r="BD8" s="3">
        <f>SOCF!BE43</f>
        <v>104885.82821279501</v>
      </c>
      <c r="BE8" s="2"/>
      <c r="BF8" s="3">
        <f>SOCF!BG43</f>
        <v>76594.963412609766</v>
      </c>
      <c r="BG8" s="3">
        <f>SOCF!BH43</f>
        <v>72414.949743776175</v>
      </c>
      <c r="BH8" s="3">
        <f>SOCF!BI43</f>
        <v>88174.487286211166</v>
      </c>
      <c r="BI8" s="3">
        <f>SOCF!BJ43</f>
        <v>100694.40078765967</v>
      </c>
      <c r="BJ8" s="3">
        <f>SOCF!BK43</f>
        <v>135786.04248531</v>
      </c>
      <c r="BK8" s="3">
        <f>SOCF!BL43</f>
        <v>161121.31387996243</v>
      </c>
      <c r="BL8" s="3">
        <f>SOCF!BM43</f>
        <v>150844.45478659848</v>
      </c>
      <c r="BM8" s="3">
        <f>SOCF!BN43</f>
        <v>184838.5509002324</v>
      </c>
      <c r="BN8" s="3">
        <f>SOCF!BO43</f>
        <v>222165.75956318853</v>
      </c>
      <c r="BO8" s="3">
        <f>SOCF!BP43</f>
        <v>222988.28912608977</v>
      </c>
      <c r="BP8" s="3">
        <f>SOCF!BQ43</f>
        <v>232529.57431825681</v>
      </c>
      <c r="BQ8" s="3">
        <f>SOCF!BR43</f>
        <v>107187.40289878829</v>
      </c>
    </row>
    <row r="9" spans="1:69" ht="14.5">
      <c r="A9" s="2"/>
      <c r="B9" s="2"/>
      <c r="C9" s="2" t="s">
        <v>10</v>
      </c>
      <c r="D9" s="2"/>
      <c r="E9" s="2"/>
      <c r="F9" s="3">
        <v>0</v>
      </c>
      <c r="G9" s="3">
        <f>SOO!F8</f>
        <v>693.67109263392854</v>
      </c>
      <c r="H9" s="3">
        <f>SOO!G8</f>
        <v>737.49171273311481</v>
      </c>
      <c r="I9" s="3">
        <f>SOO!H8</f>
        <v>1040.5066389508929</v>
      </c>
      <c r="J9" s="3">
        <f>SOO!I8</f>
        <v>1230.7067772537446</v>
      </c>
      <c r="K9" s="3">
        <f>SOO!J8</f>
        <v>1387.3421852678571</v>
      </c>
      <c r="L9" s="3">
        <f>SOO!K8</f>
        <v>1230.7067772537446</v>
      </c>
      <c r="M9" s="3">
        <f>SOO!L8</f>
        <v>1156.1184877232145</v>
      </c>
      <c r="N9" s="3">
        <f>SOO!M8</f>
        <v>1445.1481096540181</v>
      </c>
      <c r="O9" s="3">
        <f>SOO!N8</f>
        <v>1398.5304286974367</v>
      </c>
      <c r="P9" s="3">
        <f>SOO!O8</f>
        <v>1387.3421852678571</v>
      </c>
      <c r="Q9" s="3">
        <f>SOO!P8</f>
        <v>1006.9419086621546</v>
      </c>
      <c r="R9" s="3"/>
      <c r="S9" s="3">
        <f>SOO!S8</f>
        <v>797.72175652901785</v>
      </c>
      <c r="T9" s="3">
        <f>SOO!T8</f>
        <v>848.11546964308218</v>
      </c>
      <c r="U9" s="3">
        <f>SOO!U8</f>
        <v>1196.5826347935269</v>
      </c>
      <c r="V9" s="3">
        <f>SOO!V8</f>
        <v>1415.3127938418061</v>
      </c>
      <c r="W9" s="3">
        <f>SOO!W8</f>
        <v>1595.4435130580357</v>
      </c>
      <c r="X9" s="3">
        <f>SOO!X8</f>
        <v>1415.3127938418061</v>
      </c>
      <c r="Y9" s="3">
        <f>SOO!Y8</f>
        <v>1329.5362608816965</v>
      </c>
      <c r="Z9" s="3">
        <f>SOO!Z8</f>
        <v>1661.9203261021205</v>
      </c>
      <c r="AA9" s="3">
        <f>SOO!AA8</f>
        <v>1608.3099930020519</v>
      </c>
      <c r="AB9" s="3">
        <f>SOO!AB8</f>
        <v>1595.4435130580357</v>
      </c>
      <c r="AC9" s="3">
        <f>SOO!AC8</f>
        <v>1157.9831949614775</v>
      </c>
      <c r="AD9" s="3">
        <f>SOO!AD8</f>
        <v>1063.6290087053571</v>
      </c>
      <c r="AE9" s="3"/>
      <c r="AF9" s="3">
        <f>SOO!AF8</f>
        <v>912.59368946919642</v>
      </c>
      <c r="AG9" s="3">
        <f>SOO!AG8</f>
        <v>970.24409727168609</v>
      </c>
      <c r="AH9" s="3">
        <f>SOO!AH8</f>
        <v>1368.8905342037951</v>
      </c>
      <c r="AI9" s="3">
        <f>SOO!AI8</f>
        <v>1619.1178361550262</v>
      </c>
      <c r="AJ9" s="3">
        <f>SOO!AJ8</f>
        <v>1825.1873789383928</v>
      </c>
      <c r="AK9" s="3">
        <f>SOO!AK8</f>
        <v>1619.1178361550262</v>
      </c>
      <c r="AL9" s="3">
        <f>SOO!AL8</f>
        <v>1520.9894824486607</v>
      </c>
      <c r="AM9" s="3">
        <f>SOO!AM8</f>
        <v>1901.2368530608262</v>
      </c>
      <c r="AN9" s="3">
        <f>SOO!AN8</f>
        <v>1839.9066319943477</v>
      </c>
      <c r="AO9" s="3">
        <f>SOO!AO8</f>
        <v>1825.1873789383928</v>
      </c>
      <c r="AP9" s="3">
        <f>SOO!AP8</f>
        <v>1324.7327750359307</v>
      </c>
      <c r="AQ9" s="3">
        <f>SOO!AQ8</f>
        <v>1216.7915859589289</v>
      </c>
      <c r="AS9" s="3">
        <f>SOO!AS8</f>
        <v>958.22337394265639</v>
      </c>
      <c r="AT9" s="3">
        <f>SOO!AT8</f>
        <v>1018.7563021352704</v>
      </c>
      <c r="AU9" s="3">
        <f>SOO!AU8</f>
        <v>1437.3350609139848</v>
      </c>
      <c r="AV9" s="3">
        <f>SOO!AV8</f>
        <v>1700.0737279627779</v>
      </c>
      <c r="AW9" s="3">
        <f>SOO!AW8</f>
        <v>1916.4467478853128</v>
      </c>
      <c r="AX9" s="3">
        <f>SOO!AX8</f>
        <v>1700.0737279627779</v>
      </c>
      <c r="AY9" s="3">
        <f>SOO!AY8</f>
        <v>1597.0389565710939</v>
      </c>
      <c r="AZ9" s="3">
        <f>SOO!AZ8</f>
        <v>1996.2986957138676</v>
      </c>
      <c r="BA9" s="3">
        <f>SOO!BA8</f>
        <v>1931.9019635940654</v>
      </c>
      <c r="BB9" s="3">
        <f>SOO!BB8</f>
        <v>1916.4467478853128</v>
      </c>
      <c r="BC9" s="3">
        <f>SOO!BC8</f>
        <v>1390.969413787727</v>
      </c>
      <c r="BD9" s="3">
        <f>SOO!BD8</f>
        <v>1277.6311652568754</v>
      </c>
      <c r="BE9" s="2"/>
      <c r="BF9" s="3">
        <f>SOO!BF8</f>
        <v>1046.3799243453809</v>
      </c>
      <c r="BG9" s="3">
        <f>SOO!BG8</f>
        <v>1112.4818819317154</v>
      </c>
      <c r="BH9" s="3">
        <f>SOO!BH8</f>
        <v>1569.5698865180714</v>
      </c>
      <c r="BI9" s="3">
        <f>SOO!BI8</f>
        <v>1856.4805109353533</v>
      </c>
      <c r="BJ9" s="3">
        <f>SOO!BJ8</f>
        <v>2092.7598486907618</v>
      </c>
      <c r="BK9" s="3">
        <f>SOO!BK8</f>
        <v>1856.4805109353533</v>
      </c>
      <c r="BL9" s="3">
        <f>SOO!BL8</f>
        <v>1743.9665405756348</v>
      </c>
      <c r="BM9" s="3">
        <f>SOO!BM8</f>
        <v>2179.9581757195438</v>
      </c>
      <c r="BN9" s="3">
        <f>SOO!BN8</f>
        <v>2109.6369442447194</v>
      </c>
      <c r="BO9" s="3">
        <f>SOO!BO8</f>
        <v>2092.7598486907618</v>
      </c>
      <c r="BP9" s="3">
        <f>SOO!BP8</f>
        <v>1518.9385998561984</v>
      </c>
      <c r="BQ9" s="3">
        <f>SOO!BQ8</f>
        <v>1395.1732324605077</v>
      </c>
    </row>
    <row r="10" spans="1:69" ht="14.5">
      <c r="A10" s="2"/>
      <c r="B10" s="2"/>
      <c r="C10" s="2" t="s">
        <v>11</v>
      </c>
      <c r="D10" s="2"/>
      <c r="E10" s="2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2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</row>
    <row r="11" spans="1:69" ht="14.5">
      <c r="A11" s="2"/>
      <c r="B11" s="2"/>
      <c r="C11" s="2"/>
      <c r="D11" s="282" t="s">
        <v>571</v>
      </c>
      <c r="E11" s="2"/>
      <c r="F11" s="3">
        <f>SOO!F20+SOO!F21+SOO!G20+SOO!G21+SOO!H20+SOO!H21</f>
        <v>5686.6748495173651</v>
      </c>
      <c r="G11" s="3">
        <f>SOO!I20+SOO!I21</f>
        <v>2831.5393441580236</v>
      </c>
      <c r="H11" s="3">
        <f>SOO!J20+SOO!J21</f>
        <v>3191.9170788690453</v>
      </c>
      <c r="I11" s="3">
        <f>SOO!K20+SOO!K21</f>
        <v>2831.5393441580236</v>
      </c>
      <c r="J11" s="3">
        <f>SOO!L20+SOO!L21</f>
        <v>2659.9308990575378</v>
      </c>
      <c r="K11" s="3">
        <f>SOO!M20+SOO!M21</f>
        <v>3324.9136238219221</v>
      </c>
      <c r="L11" s="3">
        <f>SOO!N20+SOO!N21</f>
        <v>3217.6583456341173</v>
      </c>
      <c r="M11" s="3">
        <f>SOO!O20+SOO!O21</f>
        <v>3191.9170788690453</v>
      </c>
      <c r="N11" s="3">
        <f>SOO!P20+SOO!P21</f>
        <v>2316.7140088565648</v>
      </c>
      <c r="O11" s="3">
        <f>SOO!Q20+SOO!Q21</f>
        <v>2127.9447192460302</v>
      </c>
      <c r="P11" s="3">
        <f>SOO!S20+SOO!S21</f>
        <v>1872.0593667566943</v>
      </c>
      <c r="Q11" s="3">
        <f>SOO!T20+SOO!T21</f>
        <v>1990.3211815921309</v>
      </c>
      <c r="R11" s="3"/>
      <c r="S11" s="3">
        <f>SOO!U20+SOO!U21</f>
        <v>2808.0890501350418</v>
      </c>
      <c r="T11" s="3">
        <f>SOO!V20+SOO!V21</f>
        <v>3321.3956506973618</v>
      </c>
      <c r="U11" s="3">
        <f>SOO!W20+SOO!W21</f>
        <v>3744.1187335133886</v>
      </c>
      <c r="V11" s="3">
        <f>SOO!X20+SOO!X21</f>
        <v>3321.3956506973618</v>
      </c>
      <c r="W11" s="3">
        <f>SOO!Y20+SOO!Y21</f>
        <v>3120.0989445944915</v>
      </c>
      <c r="X11" s="3">
        <f>SOO!Z20+SOO!Z21</f>
        <v>3900.1236807431133</v>
      </c>
      <c r="Y11" s="3">
        <f>SOO!AA20+SOO!AA21</f>
        <v>3774.3132394288195</v>
      </c>
      <c r="Z11" s="3">
        <f>SOO!AB20+SOO!AB21</f>
        <v>3744.1187335133886</v>
      </c>
      <c r="AA11" s="3">
        <f>SOO!AC20+SOO!AC21</f>
        <v>2717.50553238875</v>
      </c>
      <c r="AB11" s="3">
        <f>SOO!AD20+SOO!AD21</f>
        <v>2496.0791556755926</v>
      </c>
      <c r="AC11" s="3">
        <f>SOO!AF20+SOO!AF21</f>
        <v>2100.4506095010111</v>
      </c>
      <c r="AD11" s="3">
        <f>SOO!AG20+SOO!AG21</f>
        <v>2233.1403657463711</v>
      </c>
      <c r="AE11" s="3"/>
      <c r="AF11" s="3">
        <f>SOO!AH20+SOO!AH21</f>
        <v>3150.6759142515175</v>
      </c>
      <c r="AG11" s="3">
        <f>SOO!AI20+SOO!AI21</f>
        <v>3726.6059200824402</v>
      </c>
      <c r="AH11" s="3">
        <f>SOO!AJ20+SOO!AJ21</f>
        <v>4200.9012190020221</v>
      </c>
      <c r="AI11" s="3">
        <f>SOO!AK20+SOO!AK21</f>
        <v>3726.6059200824402</v>
      </c>
      <c r="AJ11" s="3">
        <f>SOO!AL20+SOO!AL21</f>
        <v>3500.7510158350196</v>
      </c>
      <c r="AK11" s="3">
        <f>SOO!AM20+SOO!AM21</f>
        <v>4375.9387697937746</v>
      </c>
      <c r="AL11" s="3">
        <f>SOO!AN20+SOO!AN21</f>
        <v>4234.779454639136</v>
      </c>
      <c r="AM11" s="3">
        <f>SOO!AO20+SOO!AO21</f>
        <v>4200.9012190020221</v>
      </c>
      <c r="AN11" s="3">
        <f>SOO!AP20+SOO!AP21</f>
        <v>3049.0412073401785</v>
      </c>
      <c r="AO11" s="3">
        <f>SOO!AQ20+SOO!AQ21</f>
        <v>2800.6008126680158</v>
      </c>
      <c r="AP11" s="3">
        <f>SOO!AS20+SOO!AS21</f>
        <v>2249.5826027755834</v>
      </c>
      <c r="AQ11" s="3">
        <f>SOO!AT20+SOO!AT21</f>
        <v>2391.6933317143635</v>
      </c>
      <c r="AS11" s="3">
        <f>SOO!AU20+SOO!AU21</f>
        <v>3374.3739041633748</v>
      </c>
      <c r="AT11" s="3">
        <f>SOO!AV20+SOO!AV21</f>
        <v>3991.1949404082939</v>
      </c>
      <c r="AU11" s="3">
        <f>SOO!AW20+SOO!AW21</f>
        <v>4499.1652055511668</v>
      </c>
      <c r="AV11" s="3">
        <f>SOO!AX20+SOO!AX21</f>
        <v>3991.1949404082939</v>
      </c>
      <c r="AW11" s="3">
        <f>SOO!AY20+SOO!AY21</f>
        <v>3749.3043379593064</v>
      </c>
      <c r="AX11" s="3">
        <f>SOO!AZ20+SOO!AZ21</f>
        <v>4686.6304224491332</v>
      </c>
      <c r="AY11" s="3">
        <f>SOO!BA20+SOO!BA21</f>
        <v>4535.4487959185153</v>
      </c>
      <c r="AZ11" s="3">
        <f>SOO!BB20+SOO!BB21</f>
        <v>4499.1652055511668</v>
      </c>
      <c r="BA11" s="3">
        <f>SOO!BC20+SOO!BC21</f>
        <v>3265.5231330613315</v>
      </c>
      <c r="BB11" s="3">
        <f>SOO!BD20+SOO!BD21</f>
        <v>2999.4434703674451</v>
      </c>
      <c r="BC11" s="3">
        <f>SOO!BF20+SOO!BF21</f>
        <v>2409.3029675726502</v>
      </c>
      <c r="BD11" s="3">
        <f>SOO!BG20+SOO!BG21</f>
        <v>2561.5035582660835</v>
      </c>
      <c r="BE11" s="2"/>
      <c r="BF11" s="3">
        <f>SOO!BH20+SOO!BH21</f>
        <v>3613.9544513589749</v>
      </c>
      <c r="BG11" s="3">
        <f>SOO!BI20+SOO!BI21</f>
        <v>4274.5697811772834</v>
      </c>
      <c r="BH11" s="3">
        <f>SOO!BJ20+SOO!BJ21</f>
        <v>4818.6059351453005</v>
      </c>
      <c r="BI11" s="3">
        <f>SOO!BK20+SOO!BK21</f>
        <v>4274.5697811772834</v>
      </c>
      <c r="BJ11" s="3">
        <f>SOO!BL20+SOO!BL21</f>
        <v>4015.5049459544166</v>
      </c>
      <c r="BK11" s="3">
        <f>SOO!BM20+SOO!BM21</f>
        <v>5019.3811824430213</v>
      </c>
      <c r="BL11" s="3">
        <f>SOO!BN20+SOO!BN21</f>
        <v>4857.4656604287302</v>
      </c>
      <c r="BM11" s="3">
        <f>SOO!BO20+SOO!BO21</f>
        <v>4818.6059351453005</v>
      </c>
      <c r="BN11" s="3">
        <f>SOO!BP20+SOO!BP21</f>
        <v>3497.3752755086866</v>
      </c>
      <c r="BO11" s="3">
        <f>SOO!BQ20+SOO!BQ21</f>
        <v>3212.4039567635336</v>
      </c>
      <c r="BP11" s="3">
        <f>BO11</f>
        <v>3212.4039567635336</v>
      </c>
      <c r="BQ11" s="3">
        <f>BP11</f>
        <v>3212.4039567635336</v>
      </c>
    </row>
    <row r="12" spans="1:69" ht="14.5">
      <c r="A12" s="2"/>
      <c r="B12" s="2"/>
      <c r="C12" s="2"/>
      <c r="D12" s="282" t="s">
        <v>549</v>
      </c>
      <c r="E12" s="2"/>
      <c r="F12" s="3">
        <f>SOO!F11*1.5</f>
        <v>10881</v>
      </c>
      <c r="G12" s="3">
        <f>SOO!G11</f>
        <v>7712.2499999999991</v>
      </c>
      <c r="H12" s="3">
        <f>SOO!H11</f>
        <v>10881</v>
      </c>
      <c r="I12" s="3">
        <f>SOO!I11</f>
        <v>12870.000000000002</v>
      </c>
      <c r="J12" s="3">
        <f>SOO!J11</f>
        <v>14508</v>
      </c>
      <c r="K12" s="3">
        <f>SOO!K11</f>
        <v>12870.000000000002</v>
      </c>
      <c r="L12" s="3">
        <f>SOO!L11</f>
        <v>12090</v>
      </c>
      <c r="M12" s="3">
        <f>SOO!M11</f>
        <v>15112.5</v>
      </c>
      <c r="N12" s="3">
        <f>SOO!N11</f>
        <v>14625</v>
      </c>
      <c r="O12" s="3">
        <f>SOO!O11</f>
        <v>14508</v>
      </c>
      <c r="P12" s="3">
        <f>SOO!P11</f>
        <v>10530</v>
      </c>
      <c r="Q12" s="3">
        <f>SOO!Q11</f>
        <v>9672</v>
      </c>
      <c r="R12" s="3"/>
      <c r="S12" s="3">
        <f>SOO!S11</f>
        <v>8342.0999999999985</v>
      </c>
      <c r="T12" s="3">
        <f>SOO!T11</f>
        <v>8869.0874999999978</v>
      </c>
      <c r="U12" s="3">
        <f>SOO!U11</f>
        <v>12513.15</v>
      </c>
      <c r="V12" s="3">
        <f>SOO!V11</f>
        <v>14800.500000000002</v>
      </c>
      <c r="W12" s="3">
        <f>SOO!W11</f>
        <v>16684.199999999997</v>
      </c>
      <c r="X12" s="3">
        <f>SOO!X11</f>
        <v>14800.500000000002</v>
      </c>
      <c r="Y12" s="3">
        <f>SOO!Y11</f>
        <v>13903.499999999998</v>
      </c>
      <c r="Z12" s="3">
        <f>SOO!Z11</f>
        <v>17379.375</v>
      </c>
      <c r="AA12" s="3">
        <f>SOO!AA11</f>
        <v>16818.75</v>
      </c>
      <c r="AB12" s="3">
        <f>SOO!AB11</f>
        <v>16684.199999999997</v>
      </c>
      <c r="AC12" s="3">
        <f>SOO!AC11</f>
        <v>12109.499999999998</v>
      </c>
      <c r="AD12" s="3">
        <f>SOO!AD11</f>
        <v>11122.8</v>
      </c>
      <c r="AE12" s="3"/>
      <c r="AF12" s="3">
        <f>SOO!AF11</f>
        <v>9543.3624</v>
      </c>
      <c r="AG12" s="3">
        <f>SOO!AG11</f>
        <v>10146.236099999998</v>
      </c>
      <c r="AH12" s="3">
        <f>SOO!AH11</f>
        <v>14315.043600000001</v>
      </c>
      <c r="AI12" s="3">
        <f>SOO!AI11</f>
        <v>16931.772000000004</v>
      </c>
      <c r="AJ12" s="3">
        <f>SOO!AJ11</f>
        <v>19086.7248</v>
      </c>
      <c r="AK12" s="3">
        <f>SOO!AK11</f>
        <v>16931.772000000004</v>
      </c>
      <c r="AL12" s="3">
        <f>SOO!AL11</f>
        <v>15905.603999999999</v>
      </c>
      <c r="AM12" s="3">
        <f>SOO!AM11</f>
        <v>19882.005000000001</v>
      </c>
      <c r="AN12" s="3">
        <f>SOO!AN11</f>
        <v>19240.650000000001</v>
      </c>
      <c r="AO12" s="3">
        <f>SOO!AO11</f>
        <v>19086.7248</v>
      </c>
      <c r="AP12" s="3">
        <f>SOO!AP11</f>
        <v>13853.268</v>
      </c>
      <c r="AQ12" s="3">
        <f>SOO!AQ11</f>
        <v>12724.483200000001</v>
      </c>
      <c r="AS12" s="3">
        <f>SOO!AS11</f>
        <v>10020.53052</v>
      </c>
      <c r="AT12" s="3">
        <f>SOO!AT11</f>
        <v>10653.547904999999</v>
      </c>
      <c r="AU12" s="3">
        <f>SOO!AU11</f>
        <v>15030.795780000002</v>
      </c>
      <c r="AV12" s="3">
        <f>SOO!AV11</f>
        <v>17778.360600000007</v>
      </c>
      <c r="AW12" s="3">
        <f>SOO!AW11</f>
        <v>20041.061040000001</v>
      </c>
      <c r="AX12" s="3">
        <f>SOO!AX11</f>
        <v>17778.360600000007</v>
      </c>
      <c r="AY12" s="3">
        <f>SOO!AY11</f>
        <v>16700.8842</v>
      </c>
      <c r="AZ12" s="3">
        <f>SOO!AZ11</f>
        <v>20876.105250000001</v>
      </c>
      <c r="BA12" s="3">
        <f>SOO!BA11</f>
        <v>20202.682500000003</v>
      </c>
      <c r="BB12" s="3">
        <f>SOO!BB11</f>
        <v>20041.061040000001</v>
      </c>
      <c r="BC12" s="3">
        <f>SOO!BC11</f>
        <v>14545.931400000001</v>
      </c>
      <c r="BD12" s="3">
        <f>SOO!BD11</f>
        <v>13360.70736</v>
      </c>
      <c r="BE12" s="2"/>
      <c r="BF12" s="3">
        <f>SOO!BF11</f>
        <v>10942.41932784</v>
      </c>
      <c r="BG12" s="3">
        <f>SOO!BG11</f>
        <v>11633.67431226</v>
      </c>
      <c r="BH12" s="3">
        <f>SOO!BH11</f>
        <v>16413.628991760004</v>
      </c>
      <c r="BI12" s="3">
        <f>SOO!BI11</f>
        <v>19413.96977520001</v>
      </c>
      <c r="BJ12" s="3">
        <f>SOO!BJ11</f>
        <v>21884.83865568</v>
      </c>
      <c r="BK12" s="3">
        <f>SOO!BK11</f>
        <v>19413.96977520001</v>
      </c>
      <c r="BL12" s="3">
        <f>SOO!BL11</f>
        <v>18237.3655464</v>
      </c>
      <c r="BM12" s="3">
        <f>SOO!BM11</f>
        <v>22796.706933000005</v>
      </c>
      <c r="BN12" s="3">
        <f>SOO!BN11</f>
        <v>22061.329290000005</v>
      </c>
      <c r="BO12" s="3">
        <f>SOO!BO11</f>
        <v>21884.83865568</v>
      </c>
      <c r="BP12" s="3">
        <f>SOO!BP11</f>
        <v>15884.157088800002</v>
      </c>
      <c r="BQ12" s="3">
        <f>SOO!BQ11</f>
        <v>14589.892437120001</v>
      </c>
    </row>
    <row r="13" spans="1:69" ht="14.5">
      <c r="A13" s="2"/>
      <c r="B13" s="2"/>
      <c r="C13" s="2"/>
      <c r="D13" s="282" t="s">
        <v>551</v>
      </c>
      <c r="E13" s="2"/>
      <c r="F13" s="3">
        <f>SOO!F23+SOO!G23</f>
        <v>1969.870982142857</v>
      </c>
      <c r="G13" s="3">
        <f>SOO!H23</f>
        <v>1432.1667857142859</v>
      </c>
      <c r="H13" s="3">
        <f>SOO!I23</f>
        <v>1693.9607142857142</v>
      </c>
      <c r="I13" s="3">
        <f>SOO!J23</f>
        <v>1909.5557142857142</v>
      </c>
      <c r="J13" s="3">
        <f>SOO!K23</f>
        <v>1693.9607142857142</v>
      </c>
      <c r="K13" s="3">
        <f>SOO!L23</f>
        <v>1591.2964285714286</v>
      </c>
      <c r="L13" s="3">
        <f>SOO!M23</f>
        <v>1989.1205357142858</v>
      </c>
      <c r="M13" s="3">
        <f>SOO!N23</f>
        <v>1924.9553571428569</v>
      </c>
      <c r="N13" s="3">
        <f>SOO!O23</f>
        <v>1909.5557142857142</v>
      </c>
      <c r="O13" s="3">
        <f>SOO!P23</f>
        <v>1385.9678571428572</v>
      </c>
      <c r="P13" s="3">
        <f>SOO!Q23</f>
        <v>1273.037142857143</v>
      </c>
      <c r="Q13" s="3">
        <f>SOO!S23</f>
        <v>1097.9945357142856</v>
      </c>
      <c r="R13" s="3"/>
      <c r="S13" s="3">
        <f>SOO!T23</f>
        <v>1167.3570937499999</v>
      </c>
      <c r="T13" s="3">
        <f>SOO!U23</f>
        <v>1646.9918035714286</v>
      </c>
      <c r="U13" s="3">
        <f>SOO!V23</f>
        <v>1948.0548214285711</v>
      </c>
      <c r="V13" s="3">
        <f>SOO!W23</f>
        <v>2195.9890714285712</v>
      </c>
      <c r="W13" s="3">
        <f>SOO!X23</f>
        <v>1948.0548214285711</v>
      </c>
      <c r="X13" s="3">
        <f>SOO!Y23</f>
        <v>1829.9908928571426</v>
      </c>
      <c r="Y13" s="3">
        <f>SOO!Z23</f>
        <v>2287.4886160714286</v>
      </c>
      <c r="Z13" s="3">
        <f>SOO!AA23</f>
        <v>2213.6986607142853</v>
      </c>
      <c r="AA13" s="3">
        <f>SOO!AB23</f>
        <v>2195.9890714285712</v>
      </c>
      <c r="AB13" s="3">
        <f>SOO!AC23</f>
        <v>1593.8630357142856</v>
      </c>
      <c r="AC13" s="3">
        <f>SOO!AD23</f>
        <v>1463.9927142857143</v>
      </c>
      <c r="AD13" s="3">
        <f>SOO!AF23</f>
        <v>1256.1057488571428</v>
      </c>
      <c r="AE13" s="3"/>
      <c r="AF13" s="3">
        <f>SOO!AG23</f>
        <v>1335.4565152500002</v>
      </c>
      <c r="AG13" s="3">
        <f>SOO!AH23</f>
        <v>1884.1586232857144</v>
      </c>
      <c r="AH13" s="3">
        <f>SOO!AI23</f>
        <v>2228.574715714286</v>
      </c>
      <c r="AI13" s="3">
        <f>SOO!AJ23</f>
        <v>2512.2114977142855</v>
      </c>
      <c r="AJ13" s="3">
        <f>SOO!AK23</f>
        <v>2228.574715714286</v>
      </c>
      <c r="AK13" s="3">
        <f>SOO!AL23</f>
        <v>2093.5095814285714</v>
      </c>
      <c r="AL13" s="3">
        <f>SOO!AM23</f>
        <v>2616.886976785715</v>
      </c>
      <c r="AM13" s="3">
        <f>SOO!AN23</f>
        <v>2532.4712678571427</v>
      </c>
      <c r="AN13" s="3">
        <f>SOO!AO23</f>
        <v>2512.2114977142855</v>
      </c>
      <c r="AO13" s="3">
        <f>SOO!AP23</f>
        <v>1823.3793128571428</v>
      </c>
      <c r="AP13" s="3">
        <f>SOO!AQ23</f>
        <v>1674.8076651428576</v>
      </c>
      <c r="AQ13" s="3">
        <f>SOO!AS23</f>
        <v>1318.9110363</v>
      </c>
      <c r="AS13" s="3">
        <f>SOO!AT23</f>
        <v>1402.2293410125003</v>
      </c>
      <c r="AT13" s="3">
        <f>SOO!AU23</f>
        <v>1978.3665544500002</v>
      </c>
      <c r="AU13" s="3">
        <f>SOO!AV23</f>
        <v>2340.0034515000002</v>
      </c>
      <c r="AV13" s="3">
        <f>SOO!AW23</f>
        <v>2637.8220726</v>
      </c>
      <c r="AW13" s="3">
        <f>SOO!AX23</f>
        <v>2340.0034515000002</v>
      </c>
      <c r="AX13" s="3">
        <f>SOO!AY23</f>
        <v>2198.1850605</v>
      </c>
      <c r="AY13" s="3">
        <f>SOO!AZ23</f>
        <v>2747.7313256250009</v>
      </c>
      <c r="AZ13" s="3">
        <f>SOO!BA23</f>
        <v>2659.09483125</v>
      </c>
      <c r="BA13" s="3">
        <f>SOO!BB23</f>
        <v>2637.8220726</v>
      </c>
      <c r="BB13" s="3">
        <f>SOO!BC23</f>
        <v>1914.5482785000002</v>
      </c>
      <c r="BC13" s="3">
        <f>SOO!BD23</f>
        <v>1758.5480484000004</v>
      </c>
      <c r="BD13" s="3">
        <f>SOO!BF23</f>
        <v>1440.2508516396001</v>
      </c>
      <c r="BE13" s="2"/>
      <c r="BF13" s="3">
        <f>SOO!BG23</f>
        <v>1531.2344403856505</v>
      </c>
      <c r="BG13" s="3">
        <f>SOO!BH23</f>
        <v>2160.3762774594002</v>
      </c>
      <c r="BH13" s="3">
        <f>SOO!BI23</f>
        <v>2555.2837690380006</v>
      </c>
      <c r="BI13" s="3">
        <f>SOO!BJ23</f>
        <v>2880.5017032792002</v>
      </c>
      <c r="BJ13" s="3">
        <f>SOO!BK23</f>
        <v>2555.2837690380006</v>
      </c>
      <c r="BK13" s="3">
        <f>SOO!BL23</f>
        <v>2400.4180860659999</v>
      </c>
      <c r="BL13" s="3">
        <f>SOO!BM23</f>
        <v>3000.5226075825012</v>
      </c>
      <c r="BM13" s="3">
        <f>SOO!BN23</f>
        <v>2903.7315557250004</v>
      </c>
      <c r="BN13" s="3">
        <f>SOO!BO23</f>
        <v>2880.5017032792002</v>
      </c>
      <c r="BO13" s="3">
        <f>SOO!BP23</f>
        <v>2090.6867201220002</v>
      </c>
      <c r="BP13" s="3">
        <f>SOO!BQ23</f>
        <v>1920.3344688528007</v>
      </c>
      <c r="BQ13" s="3">
        <f>BP13</f>
        <v>1920.3344688528007</v>
      </c>
    </row>
    <row r="14" spans="1:69" ht="14.5">
      <c r="A14" s="17"/>
      <c r="B14" s="17"/>
      <c r="C14" s="17" t="s">
        <v>12</v>
      </c>
      <c r="D14" s="17"/>
      <c r="E14" s="17"/>
      <c r="F14" s="38">
        <v>0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9"/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17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17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</row>
    <row r="15" spans="1:69" ht="14.5">
      <c r="A15" s="2"/>
      <c r="B15" s="2"/>
      <c r="C15" s="2"/>
      <c r="D15" s="2" t="s">
        <v>13</v>
      </c>
      <c r="E15" s="2"/>
      <c r="F15" s="18">
        <f t="shared" ref="F15:Q15" si="0">SUM(F8:F14)</f>
        <v>90519.6163299154</v>
      </c>
      <c r="G15" s="18">
        <f t="shared" si="0"/>
        <v>117319.20425743982</v>
      </c>
      <c r="H15" s="18">
        <f t="shared" si="0"/>
        <v>117528.55064994565</v>
      </c>
      <c r="I15" s="18">
        <f t="shared" si="0"/>
        <v>126456.28307967765</v>
      </c>
      <c r="J15" s="18">
        <f t="shared" si="0"/>
        <v>149753.54050515266</v>
      </c>
      <c r="K15" s="18">
        <f t="shared" si="0"/>
        <v>163988.08377878848</v>
      </c>
      <c r="L15" s="18">
        <f t="shared" si="0"/>
        <v>155012.92169479729</v>
      </c>
      <c r="M15" s="18">
        <f t="shared" si="0"/>
        <v>179403.04283919345</v>
      </c>
      <c r="N15" s="18">
        <f t="shared" si="0"/>
        <v>201461.00917168916</v>
      </c>
      <c r="O15" s="18">
        <f t="shared" si="0"/>
        <v>199636.5532263132</v>
      </c>
      <c r="P15" s="18">
        <f t="shared" si="0"/>
        <v>199816.9071546644</v>
      </c>
      <c r="Q15" s="18">
        <f t="shared" si="0"/>
        <v>121817.52721606818</v>
      </c>
      <c r="R15" s="3"/>
      <c r="S15" s="18">
        <f t="shared" ref="S15:AD15" si="1">SUM(S8:S14)</f>
        <v>99537.809127704852</v>
      </c>
      <c r="T15" s="18">
        <f t="shared" si="1"/>
        <v>97516.419648828072</v>
      </c>
      <c r="U15" s="18">
        <f t="shared" si="1"/>
        <v>113139.86443545001</v>
      </c>
      <c r="V15" s="18">
        <f t="shared" si="1"/>
        <v>123894.49894796367</v>
      </c>
      <c r="W15" s="18">
        <f t="shared" si="1"/>
        <v>151110.07201166035</v>
      </c>
      <c r="X15" s="18">
        <f t="shared" si="1"/>
        <v>167868.7594833138</v>
      </c>
      <c r="Y15" s="18">
        <f t="shared" si="1"/>
        <v>158240.13931550499</v>
      </c>
      <c r="Z15" s="18">
        <f t="shared" si="1"/>
        <v>186701.23440533504</v>
      </c>
      <c r="AA15" s="18">
        <f t="shared" si="1"/>
        <v>212349.91180720922</v>
      </c>
      <c r="AB15" s="18">
        <f t="shared" si="1"/>
        <v>210819.85856785139</v>
      </c>
      <c r="AC15" s="18">
        <f t="shared" si="1"/>
        <v>211399.01494524235</v>
      </c>
      <c r="AD15" s="18">
        <f t="shared" si="1"/>
        <v>108438.01513137252</v>
      </c>
      <c r="AE15" s="3"/>
      <c r="AF15" s="18">
        <f t="shared" ref="AF15:AQ15" si="2">SUM(AF8:AF14)</f>
        <v>83514.60508590292</v>
      </c>
      <c r="AG15" s="18">
        <f t="shared" si="2"/>
        <v>81739.376671180944</v>
      </c>
      <c r="AH15" s="18">
        <f t="shared" si="2"/>
        <v>100290.74119196026</v>
      </c>
      <c r="AI15" s="18">
        <f t="shared" si="2"/>
        <v>113304.43282773012</v>
      </c>
      <c r="AJ15" s="18">
        <f t="shared" si="2"/>
        <v>145175.18639351273</v>
      </c>
      <c r="AK15" s="18">
        <f t="shared" si="2"/>
        <v>165057.01882846619</v>
      </c>
      <c r="AL15" s="18">
        <f t="shared" si="2"/>
        <v>154752.55743326832</v>
      </c>
      <c r="AM15" s="18">
        <f t="shared" si="2"/>
        <v>188046.84680503697</v>
      </c>
      <c r="AN15" s="18">
        <f t="shared" si="2"/>
        <v>218138.0364794301</v>
      </c>
      <c r="AO15" s="18">
        <f t="shared" si="2"/>
        <v>217151.02654867305</v>
      </c>
      <c r="AP15" s="18">
        <f t="shared" si="2"/>
        <v>218438.91362493517</v>
      </c>
      <c r="AQ15" s="18">
        <f t="shared" si="2"/>
        <v>115539.57286090584</v>
      </c>
      <c r="AS15" s="18">
        <f t="shared" ref="AS15:BD15" si="3">SUM(AS8:AS14)</f>
        <v>86224.633787350685</v>
      </c>
      <c r="AT15" s="18">
        <f t="shared" si="3"/>
        <v>83159.942585382756</v>
      </c>
      <c r="AU15" s="18">
        <f t="shared" si="3"/>
        <v>102656.74865410563</v>
      </c>
      <c r="AV15" s="18">
        <f t="shared" si="3"/>
        <v>116307.36036900037</v>
      </c>
      <c r="AW15" s="18">
        <f t="shared" si="3"/>
        <v>149735.29199706207</v>
      </c>
      <c r="AX15" s="18">
        <f t="shared" si="3"/>
        <v>170611.08754094355</v>
      </c>
      <c r="AY15" s="18">
        <f t="shared" si="3"/>
        <v>159796.81124628944</v>
      </c>
      <c r="AZ15" s="18">
        <f t="shared" si="3"/>
        <v>194727.57032762829</v>
      </c>
      <c r="BA15" s="18">
        <f t="shared" si="3"/>
        <v>226276.19880944153</v>
      </c>
      <c r="BB15" s="18">
        <f t="shared" si="3"/>
        <v>225188.77561187005</v>
      </c>
      <c r="BC15" s="18">
        <f t="shared" si="3"/>
        <v>226521.77813584279</v>
      </c>
      <c r="BD15" s="18">
        <f t="shared" si="3"/>
        <v>123525.92114795756</v>
      </c>
      <c r="BE15" s="2"/>
      <c r="BF15" s="18">
        <f t="shared" ref="BF15:BQ15" si="4">SUM(BF8:BF14)</f>
        <v>93728.951556539789</v>
      </c>
      <c r="BG15" s="18">
        <f t="shared" si="4"/>
        <v>91596.051996604583</v>
      </c>
      <c r="BH15" s="18">
        <f t="shared" si="4"/>
        <v>113531.57586867255</v>
      </c>
      <c r="BI15" s="18">
        <f t="shared" si="4"/>
        <v>129119.92255825151</v>
      </c>
      <c r="BJ15" s="18">
        <f t="shared" si="4"/>
        <v>166334.42970467321</v>
      </c>
      <c r="BK15" s="18">
        <f t="shared" si="4"/>
        <v>189811.56343460683</v>
      </c>
      <c r="BL15" s="18">
        <f t="shared" si="4"/>
        <v>178683.77514158536</v>
      </c>
      <c r="BM15" s="18">
        <f t="shared" si="4"/>
        <v>217537.55349982224</v>
      </c>
      <c r="BN15" s="18">
        <f t="shared" si="4"/>
        <v>252714.60277622115</v>
      </c>
      <c r="BO15" s="18">
        <f t="shared" si="4"/>
        <v>252268.97830734609</v>
      </c>
      <c r="BP15" s="18">
        <f t="shared" si="4"/>
        <v>255065.40843252934</v>
      </c>
      <c r="BQ15" s="18">
        <f t="shared" si="4"/>
        <v>128305.20699398514</v>
      </c>
    </row>
    <row r="16" spans="1:69" ht="14.5">
      <c r="A16" s="2"/>
      <c r="B16" s="2"/>
      <c r="C16" s="2"/>
      <c r="D16" s="2"/>
      <c r="E16" s="2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</row>
    <row r="17" spans="1:69" ht="14.5">
      <c r="A17" s="2"/>
      <c r="B17" s="2" t="s">
        <v>14</v>
      </c>
      <c r="C17" s="2"/>
      <c r="D17" s="2"/>
      <c r="E17" s="2"/>
      <c r="F17" s="3">
        <f>-SOCF!G29+Assumptions!B14-SOCF!G10</f>
        <v>241070</v>
      </c>
      <c r="G17" s="3">
        <f>-SOCF!H29+F17-SOO!G69</f>
        <v>239865</v>
      </c>
      <c r="H17" s="3">
        <f>-SOCF!I29+G17-SOO!H69</f>
        <v>238660</v>
      </c>
      <c r="I17" s="3">
        <f>-SOCF!J29+H17-SOO!I69</f>
        <v>237455</v>
      </c>
      <c r="J17" s="3">
        <f>-SOCF!K29+I17-SOO!J69</f>
        <v>236250</v>
      </c>
      <c r="K17" s="3">
        <f>-SOCF!L29+J17-SOO!K69</f>
        <v>235045</v>
      </c>
      <c r="L17" s="3">
        <f>-SOCF!M29+K17-SOO!L69</f>
        <v>233840</v>
      </c>
      <c r="M17" s="3">
        <f>-SOCF!N29+L17-SOO!M69</f>
        <v>232635</v>
      </c>
      <c r="N17" s="3">
        <f>-SOCF!O29+M17-SOO!N69</f>
        <v>231430</v>
      </c>
      <c r="O17" s="3">
        <f>-SOCF!P29+N17-SOO!O69</f>
        <v>230225</v>
      </c>
      <c r="P17" s="3">
        <f>-SOCF!Q29+O17-SOO!P69</f>
        <v>229020</v>
      </c>
      <c r="Q17" s="3">
        <f>-SOCF!R29+P17-SOO!Q69</f>
        <v>227815</v>
      </c>
      <c r="R17" s="3"/>
      <c r="S17" s="3">
        <f>-SOCF!T29+Q17-SOO!S69</f>
        <v>226610</v>
      </c>
      <c r="T17" s="3">
        <f>-SOCF!U29+S17-SOO!T69</f>
        <v>225405</v>
      </c>
      <c r="U17" s="3">
        <f>-SOCF!V29+T17-SOO!U69</f>
        <v>224200</v>
      </c>
      <c r="V17" s="3">
        <f>-SOCF!W29+U17-SOO!V69</f>
        <v>222995</v>
      </c>
      <c r="W17" s="3">
        <f>-SOCF!X29+V17-SOO!W69</f>
        <v>221790</v>
      </c>
      <c r="X17" s="3">
        <f>-SOCF!Y29+W17-SOO!X69</f>
        <v>220585</v>
      </c>
      <c r="Y17" s="3">
        <f>-SOCF!Z29+X17-SOO!Y69</f>
        <v>219380</v>
      </c>
      <c r="Z17" s="3">
        <f>-SOCF!AA29+Y17-SOO!Z69</f>
        <v>218175</v>
      </c>
      <c r="AA17" s="3">
        <f>-SOCF!AB29+Z17-SOO!AA69</f>
        <v>216970</v>
      </c>
      <c r="AB17" s="3">
        <f>-SOCF!AC29+AA17-SOO!AB69</f>
        <v>215765</v>
      </c>
      <c r="AC17" s="3">
        <f>-SOCF!AD29+AB17-SOO!AC69</f>
        <v>214560</v>
      </c>
      <c r="AD17" s="3">
        <f>-SOCF!AE29+AC17-SOO!AD69</f>
        <v>213355</v>
      </c>
      <c r="AE17" s="3"/>
      <c r="AF17" s="3">
        <f>-SOCF!AG29+AD17-SOO!AF69</f>
        <v>212150</v>
      </c>
      <c r="AG17" s="3">
        <f>-SOCF!AH29+AF17-SOO!AG69</f>
        <v>210945</v>
      </c>
      <c r="AH17" s="3">
        <f>-SOCF!AI29+AG17-SOO!AH69</f>
        <v>209740</v>
      </c>
      <c r="AI17" s="3">
        <f>-SOCF!AJ29+AH17-SOO!AI69</f>
        <v>208535</v>
      </c>
      <c r="AJ17" s="3">
        <f>-SOCF!AK29+AI17-SOO!AJ69</f>
        <v>207330</v>
      </c>
      <c r="AK17" s="3">
        <f>-SOCF!AL29+AJ17-SOO!AK69</f>
        <v>206125</v>
      </c>
      <c r="AL17" s="3">
        <f>-SOCF!AM29+AK17-SOO!AL69</f>
        <v>204920</v>
      </c>
      <c r="AM17" s="3">
        <f>-SOCF!AN29+AL17-SOO!AM69</f>
        <v>203715</v>
      </c>
      <c r="AN17" s="3">
        <f>-SOCF!AO29+AM17-SOO!AN69</f>
        <v>202510</v>
      </c>
      <c r="AO17" s="3">
        <f>-SOCF!AP29+AN17-SOO!AO69</f>
        <v>201305</v>
      </c>
      <c r="AP17" s="3">
        <f>-SOCF!AQ29+AO17-SOO!AP69</f>
        <v>200100</v>
      </c>
      <c r="AQ17" s="3">
        <f>-SOCF!AR29+AP17-SOO!AQ69</f>
        <v>198895</v>
      </c>
      <c r="AS17" s="3">
        <f>-SOCF!AT29+AQ17-SOO!AS69</f>
        <v>197690</v>
      </c>
      <c r="AT17" s="3">
        <f>-SOCF!AU29+AS17-SOO!AT69</f>
        <v>196485</v>
      </c>
      <c r="AU17" s="3">
        <f>-SOCF!AV29+AT17-SOO!AU69</f>
        <v>195280</v>
      </c>
      <c r="AV17" s="3">
        <f>-SOCF!AW29+AU17-SOO!AV69</f>
        <v>194075</v>
      </c>
      <c r="AW17" s="3">
        <f>-SOCF!AX29+AV17-SOO!AW69</f>
        <v>192870</v>
      </c>
      <c r="AX17" s="3">
        <f>-SOCF!AY29+AW17-SOO!AX69</f>
        <v>191665</v>
      </c>
      <c r="AY17" s="3">
        <f>-SOCF!AZ29+AX17-SOO!AY69</f>
        <v>190460</v>
      </c>
      <c r="AZ17" s="3">
        <f>-SOCF!BA29+AY17-SOO!AZ69</f>
        <v>189255</v>
      </c>
      <c r="BA17" s="3">
        <f>-SOCF!BB29+AZ17-SOO!BA69</f>
        <v>188050</v>
      </c>
      <c r="BB17" s="3">
        <f>-SOCF!BC29+BA17-SOO!BB69</f>
        <v>186845</v>
      </c>
      <c r="BC17" s="3">
        <f>-SOCF!BD29+BB17-SOO!BC69</f>
        <v>185640</v>
      </c>
      <c r="BD17" s="3">
        <f>-SOCF!BE29+BC17-SOO!BD69</f>
        <v>184435</v>
      </c>
      <c r="BE17" s="2"/>
      <c r="BF17" s="3">
        <f>-SOCF!BG29+BD17-SOO!BF69</f>
        <v>183230</v>
      </c>
      <c r="BG17" s="3">
        <f>-SOCF!BH29+BF17-SOO!BG69</f>
        <v>182025</v>
      </c>
      <c r="BH17" s="3">
        <f>-SOCF!BI29+BG17-SOO!BH69</f>
        <v>180820</v>
      </c>
      <c r="BI17" s="3">
        <f>-SOCF!BJ29+BH17-SOO!BI69</f>
        <v>179615</v>
      </c>
      <c r="BJ17" s="3">
        <f>-SOCF!BK29+BI17-SOO!BJ69</f>
        <v>178410</v>
      </c>
      <c r="BK17" s="3">
        <f>-SOCF!BL29+BJ17-SOO!BK69</f>
        <v>177205</v>
      </c>
      <c r="BL17" s="3">
        <f>-SOCF!BM29+BK17-SOO!BL69</f>
        <v>176000</v>
      </c>
      <c r="BM17" s="3">
        <f>-SOCF!BN29+BL17-SOO!BM69</f>
        <v>174795</v>
      </c>
      <c r="BN17" s="3">
        <f>-SOCF!BO29+BM17-SOO!BN69</f>
        <v>173590</v>
      </c>
      <c r="BO17" s="3">
        <f>-SOCF!BP29+BN17-SOO!BO69</f>
        <v>172385</v>
      </c>
      <c r="BP17" s="3">
        <f>-SOCF!BQ29+BO17-SOO!BP69</f>
        <v>171180</v>
      </c>
      <c r="BQ17" s="3">
        <f>-SOCF!BR29+BP17-SOO!BQ69</f>
        <v>169975</v>
      </c>
    </row>
    <row r="18" spans="1:69" ht="14.5">
      <c r="A18" s="2"/>
      <c r="B18" s="2"/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2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</row>
    <row r="19" spans="1:69" ht="14.5">
      <c r="A19" s="2"/>
      <c r="B19" s="2" t="s">
        <v>15</v>
      </c>
      <c r="C19" s="2"/>
      <c r="D19" s="2"/>
      <c r="E19" s="2"/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/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/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2"/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</row>
    <row r="20" spans="1:69" ht="14.5">
      <c r="A20" s="2"/>
      <c r="B20" s="2"/>
      <c r="C20" s="2"/>
      <c r="D20" s="2"/>
      <c r="E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2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</row>
    <row r="21" spans="1:69" ht="15.75" customHeight="1">
      <c r="A21" s="1" t="s">
        <v>16</v>
      </c>
      <c r="B21" s="1"/>
      <c r="C21" s="1"/>
      <c r="D21" s="16"/>
      <c r="E21" s="16"/>
      <c r="F21" s="19">
        <f t="shared" ref="F21:Q21" si="5">F15+F17+F19</f>
        <v>331589.61632991541</v>
      </c>
      <c r="G21" s="19">
        <f t="shared" si="5"/>
        <v>357184.20425743982</v>
      </c>
      <c r="H21" s="19">
        <f t="shared" si="5"/>
        <v>356188.55064994562</v>
      </c>
      <c r="I21" s="19">
        <f t="shared" si="5"/>
        <v>363911.28307967767</v>
      </c>
      <c r="J21" s="19">
        <f t="shared" si="5"/>
        <v>386003.54050515266</v>
      </c>
      <c r="K21" s="19">
        <f t="shared" si="5"/>
        <v>399033.08377878845</v>
      </c>
      <c r="L21" s="19">
        <f t="shared" si="5"/>
        <v>388852.92169479729</v>
      </c>
      <c r="M21" s="19">
        <f t="shared" si="5"/>
        <v>412038.04283919348</v>
      </c>
      <c r="N21" s="19">
        <f t="shared" si="5"/>
        <v>432891.00917168916</v>
      </c>
      <c r="O21" s="19">
        <f t="shared" si="5"/>
        <v>429861.5532263132</v>
      </c>
      <c r="P21" s="19">
        <f t="shared" si="5"/>
        <v>428836.9071546644</v>
      </c>
      <c r="Q21" s="19">
        <f t="shared" si="5"/>
        <v>349632.52721606818</v>
      </c>
      <c r="R21" s="3"/>
      <c r="S21" s="19">
        <f t="shared" ref="S21:AD21" si="6">S15+S17+S19</f>
        <v>326147.80912770482</v>
      </c>
      <c r="T21" s="19">
        <f t="shared" si="6"/>
        <v>322921.4196488281</v>
      </c>
      <c r="U21" s="19">
        <f t="shared" si="6"/>
        <v>337339.86443545</v>
      </c>
      <c r="V21" s="19">
        <f t="shared" si="6"/>
        <v>346889.4989479637</v>
      </c>
      <c r="W21" s="19">
        <f t="shared" si="6"/>
        <v>372900.07201166032</v>
      </c>
      <c r="X21" s="19">
        <f t="shared" si="6"/>
        <v>388453.75948331377</v>
      </c>
      <c r="Y21" s="19">
        <f t="shared" si="6"/>
        <v>377620.13931550499</v>
      </c>
      <c r="Z21" s="19">
        <f t="shared" si="6"/>
        <v>404876.23440533504</v>
      </c>
      <c r="AA21" s="19">
        <f t="shared" si="6"/>
        <v>429319.91180720925</v>
      </c>
      <c r="AB21" s="19">
        <f t="shared" si="6"/>
        <v>426584.85856785136</v>
      </c>
      <c r="AC21" s="19">
        <f t="shared" si="6"/>
        <v>425959.01494524232</v>
      </c>
      <c r="AD21" s="19">
        <f t="shared" si="6"/>
        <v>321793.01513137249</v>
      </c>
      <c r="AE21" s="3"/>
      <c r="AF21" s="19">
        <f t="shared" ref="AF21:AQ21" si="7">AF15+AF17+AF19</f>
        <v>295664.60508590291</v>
      </c>
      <c r="AG21" s="19">
        <f t="shared" si="7"/>
        <v>292684.37667118094</v>
      </c>
      <c r="AH21" s="19">
        <f t="shared" si="7"/>
        <v>310030.74119196029</v>
      </c>
      <c r="AI21" s="19">
        <f t="shared" si="7"/>
        <v>321839.43282773014</v>
      </c>
      <c r="AJ21" s="19">
        <f t="shared" si="7"/>
        <v>352505.18639351276</v>
      </c>
      <c r="AK21" s="19">
        <f t="shared" si="7"/>
        <v>371182.01882846619</v>
      </c>
      <c r="AL21" s="19">
        <f t="shared" si="7"/>
        <v>359672.55743326829</v>
      </c>
      <c r="AM21" s="19">
        <f t="shared" si="7"/>
        <v>391761.846805037</v>
      </c>
      <c r="AN21" s="19">
        <f t="shared" si="7"/>
        <v>420648.0364794301</v>
      </c>
      <c r="AO21" s="19">
        <f t="shared" si="7"/>
        <v>418456.02654867305</v>
      </c>
      <c r="AP21" s="19">
        <f t="shared" si="7"/>
        <v>418538.9136249352</v>
      </c>
      <c r="AQ21" s="19">
        <f t="shared" si="7"/>
        <v>314434.57286090584</v>
      </c>
      <c r="AS21" s="19">
        <f t="shared" ref="AS21:BD21" si="8">AS15+AS17+AS19</f>
        <v>283914.63378735067</v>
      </c>
      <c r="AT21" s="19">
        <f t="shared" si="8"/>
        <v>279644.94258538273</v>
      </c>
      <c r="AU21" s="19">
        <f t="shared" si="8"/>
        <v>297936.74865410564</v>
      </c>
      <c r="AV21" s="19">
        <f t="shared" si="8"/>
        <v>310382.36036900035</v>
      </c>
      <c r="AW21" s="19">
        <f t="shared" si="8"/>
        <v>342605.29199706204</v>
      </c>
      <c r="AX21" s="19">
        <f t="shared" si="8"/>
        <v>362276.08754094352</v>
      </c>
      <c r="AY21" s="19">
        <f t="shared" si="8"/>
        <v>350256.81124628941</v>
      </c>
      <c r="AZ21" s="19">
        <f t="shared" si="8"/>
        <v>383982.57032762829</v>
      </c>
      <c r="BA21" s="19">
        <f t="shared" si="8"/>
        <v>414326.19880944153</v>
      </c>
      <c r="BB21" s="19">
        <f t="shared" si="8"/>
        <v>412033.77561187005</v>
      </c>
      <c r="BC21" s="19">
        <f t="shared" si="8"/>
        <v>412161.77813584276</v>
      </c>
      <c r="BD21" s="19">
        <f t="shared" si="8"/>
        <v>307960.92114795756</v>
      </c>
      <c r="BE21" s="2"/>
      <c r="BF21" s="19">
        <f t="shared" ref="BF21:BQ21" si="9">BF15+BF17+BF19</f>
        <v>276958.9515565398</v>
      </c>
      <c r="BG21" s="19">
        <f t="shared" si="9"/>
        <v>273621.0519966046</v>
      </c>
      <c r="BH21" s="19">
        <f t="shared" si="9"/>
        <v>294351.57586867257</v>
      </c>
      <c r="BI21" s="19">
        <f t="shared" si="9"/>
        <v>308734.92255825154</v>
      </c>
      <c r="BJ21" s="19">
        <f t="shared" si="9"/>
        <v>344744.42970467324</v>
      </c>
      <c r="BK21" s="19">
        <f t="shared" si="9"/>
        <v>367016.56343460683</v>
      </c>
      <c r="BL21" s="19">
        <f t="shared" si="9"/>
        <v>354683.77514158539</v>
      </c>
      <c r="BM21" s="19">
        <f t="shared" si="9"/>
        <v>392332.55349982227</v>
      </c>
      <c r="BN21" s="19">
        <f t="shared" si="9"/>
        <v>426304.60277622112</v>
      </c>
      <c r="BO21" s="19">
        <f t="shared" si="9"/>
        <v>424653.97830734611</v>
      </c>
      <c r="BP21" s="19">
        <f t="shared" si="9"/>
        <v>426245.40843252931</v>
      </c>
      <c r="BQ21" s="19">
        <f t="shared" si="9"/>
        <v>298280.20699398511</v>
      </c>
    </row>
    <row r="22" spans="1:69" ht="15.75" customHeight="1">
      <c r="A22" s="2"/>
      <c r="B22" s="2"/>
      <c r="C22" s="2"/>
      <c r="D22" s="2"/>
      <c r="E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2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</row>
    <row r="23" spans="1:69" ht="15.75" customHeight="1">
      <c r="A23" s="16" t="s">
        <v>17</v>
      </c>
      <c r="B23" s="2"/>
      <c r="C23" s="2"/>
      <c r="D23" s="2"/>
      <c r="E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2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</row>
    <row r="24" spans="1:69" ht="15.75" customHeight="1">
      <c r="A24" s="20"/>
      <c r="B24" s="16" t="s">
        <v>18</v>
      </c>
      <c r="C24" s="2"/>
      <c r="D24" s="16"/>
      <c r="E24" s="16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2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</row>
    <row r="25" spans="1:69" ht="15.75" customHeight="1">
      <c r="A25" s="2"/>
      <c r="B25" s="2"/>
      <c r="C25" s="2" t="s">
        <v>19</v>
      </c>
      <c r="D25" s="2"/>
      <c r="E25" s="2"/>
      <c r="F25" s="3">
        <f>(F11+F12+F13+SOO!F64-SOO!F40)</f>
        <v>41491.282981364988</v>
      </c>
      <c r="G25" s="3">
        <f>(F11+F12+F13+SOO!F64-SOO!F40)+(G11+G12+G13+SOO!G64-SOO!G40)</f>
        <v>71550.963464395638</v>
      </c>
      <c r="H25" s="3">
        <f>(G11+G12+G13+SOO!G64-SOO!G40)+(H11+H12+H13+SOO!H64-SOO!H40)</f>
        <v>64484.747334075881</v>
      </c>
      <c r="I25" s="3">
        <f>(H11+H12+H13+SOO!H64-SOO!H40)+(I11+I12+I13+SOO!I64-SOO!I40)</f>
        <v>71104.08265896517</v>
      </c>
      <c r="J25" s="3">
        <f>(I11+I12+I13+SOO!I64-SOO!I40)+(J11+J12+J13+SOO!J64-SOO!J40)</f>
        <v>74903.548387339368</v>
      </c>
      <c r="K25" s="3">
        <f>(J11+J12+J13+SOO!J64-SOO!J40)+(K11+K12+K13+SOO!K64-SOO!K40)</f>
        <v>75078.663381288992</v>
      </c>
      <c r="L25" s="3">
        <f>(K11+K12+K13+SOO!K64-SOO!K40)+(L11+L12+L13+SOO!L64-SOO!L40)</f>
        <v>73043.916043836987</v>
      </c>
      <c r="M25" s="3">
        <f>(L11+L12+L13+SOO!L64-SOO!L40)+(M11+M12+M13+SOO!M64-SOO!M40)</f>
        <v>75899.207295419823</v>
      </c>
      <c r="N25" s="3">
        <f>(M11+M12+M13+SOO!M64-SOO!M40)+(N11+N12+N13+SOO!N64-SOO!N40)</f>
        <v>77972.669900999419</v>
      </c>
      <c r="O25" s="3">
        <f>(N11+N12+N13+SOO!N64-SOO!N40)+(O11+O12+O13+SOO!O64-SOO!O40)</f>
        <v>75647.801390012115</v>
      </c>
      <c r="P25" s="3">
        <f>(O11+O12+O13+SOO!O64-SOO!O40)+(P11+P12+P13+SOO!P64-SOO!P40)</f>
        <v>69668.827634983667</v>
      </c>
      <c r="Q25" s="3">
        <f>(P11+P12+P13+SOO!P64-SOO!P40)+(Q11+Q12+Q13+SOO!Q64-SOO!Q40)</f>
        <v>63467.961564986923</v>
      </c>
      <c r="R25" s="3"/>
      <c r="S25" s="3">
        <f>(Q11+Q12+Q13+SOO!Q64-SOO!Q40)+(S11+S12+S13+SOO!S64-SOO!S40)</f>
        <v>61958.911338513841</v>
      </c>
      <c r="T25" s="3">
        <f>(S11+S12+S13+SOO!S64-SOO!S40)+(T11+T12+T13+SOO!T64-SOO!T40)</f>
        <v>63219.861826446388</v>
      </c>
      <c r="U25" s="3">
        <f>(T11+T12+T13+SOO!T64-SOO!T40)+(U11+U12+U13+SOO!U64-SOO!U40)</f>
        <v>69917.758931916876</v>
      </c>
      <c r="V25" s="3">
        <f>(U11+U12+U13+SOO!U64-SOO!U40)+(V11+V12+V13+SOO!V64-SOO!V40)</f>
        <v>77529.994555539568</v>
      </c>
      <c r="W25" s="3">
        <f>(V11+V12+V13+SOO!V64-SOO!V40)+(W11+W12+W13+SOO!W64-SOO!W40)</f>
        <v>81887.14446103423</v>
      </c>
      <c r="X25" s="3">
        <f>(W11+W12+W13+SOO!W64-SOO!W40)+(X11+X12+X13+SOO!X64-SOO!X40)</f>
        <v>82099.87431250856</v>
      </c>
      <c r="Y25" s="3">
        <f>(X11+X12+X13+SOO!X64-SOO!X40)+(Y11+Y12+Y13+SOO!Y64-SOO!Y40)</f>
        <v>79772.742605710024</v>
      </c>
      <c r="Z25" s="3">
        <f>(Y11+Y12+Y13+SOO!Y64-SOO!Y40)+(Z11+Z12+Z13+SOO!Z64-SOO!Z40)</f>
        <v>83053.268624496384</v>
      </c>
      <c r="AA25" s="3">
        <f>(Z11+Z12+Z13+SOO!Z64-SOO!Z40)+(AA11+AA12+AA13+SOO!AA64-SOO!AA40)</f>
        <v>85417.028901167025</v>
      </c>
      <c r="AB25" s="3">
        <f>(AA11+AA12+AA13+SOO!AA64-SOO!AA40)+(AB11+AB12+AB13+SOO!AB64-SOO!AB40)</f>
        <v>82718.958749260302</v>
      </c>
      <c r="AC25" s="3">
        <f>(AB11+AB12+AB13+SOO!AB64-SOO!AB40)+(AC11+AC12+AC13+SOO!AC64-SOO!AC40)</f>
        <v>75737.436846504701</v>
      </c>
      <c r="AD25" s="3">
        <f>(AC11+AC12+AC13+SOO!AC64-SOO!AC40)+(AD11+AD12+AD13+SOO!AD64-SOO!AD40)</f>
        <v>68495.181177166902</v>
      </c>
      <c r="AE25" s="3"/>
      <c r="AF25" s="3">
        <f>(AD11+AD12+AD13+SOO!AD64-SOO!AD40)+(AF11+AF12+AF13+SOO!AF64-SOO!AF40)</f>
        <v>66614.570156692804</v>
      </c>
      <c r="AG25" s="3">
        <f>(AF11+AF12+AF13+SOO!AF64-SOO!AF40)+(AG11+AG12+AG13+SOO!AG64-SOO!AG40)</f>
        <v>67904.710426036356</v>
      </c>
      <c r="AH25" s="3">
        <f>(AG11+AG12+AG13+SOO!AG64-SOO!AG40)+(AH11+AH12+AH13+SOO!AH64-SOO!AH40)</f>
        <v>75536.493261660275</v>
      </c>
      <c r="AI25" s="3">
        <f>(AH11+AH12+AH13+SOO!AH64-SOO!AH40)+(AI11+AI12+AI13+SOO!AI64-SOO!AI40)</f>
        <v>84231.532415084628</v>
      </c>
      <c r="AJ25" s="3">
        <f>(AI11+AI12+AI13+SOO!AI64-SOO!AI40)+(AJ11+AJ12+AJ13+SOO!AJ64-SOO!AJ40)</f>
        <v>89219.821542326754</v>
      </c>
      <c r="AK25" s="3">
        <f>(AJ11+AJ12+AJ13+SOO!AJ64-SOO!AJ40)+(AK11+AK12+AK13+SOO!AK64-SOO!AK40)</f>
        <v>89450.452475752376</v>
      </c>
      <c r="AL25" s="3">
        <f>(AK11+AK12+AK13+SOO!AK64-SOO!AK40)+(AL11+AL12+AL13+SOO!AL64-SOO!AL40)</f>
        <v>86780.500288688505</v>
      </c>
      <c r="AM25" s="3">
        <f>(AL11+AL12+AL13+SOO!AL64-SOO!AL40)+(AM11+AM12+AM13+SOO!AM64-SOO!AM40)</f>
        <v>90531.844763019137</v>
      </c>
      <c r="AN25" s="3">
        <f>(AM11+AM12+AM13+SOO!AM64-SOO!AM40)+(AN11+AN12+AN13+SOO!AN64-SOO!AN40)</f>
        <v>93250.887289085222</v>
      </c>
      <c r="AO25" s="3">
        <f>(AN11+AN12+AN13+SOO!AN64-SOO!AN40)+(AO11+AO12+AO13+SOO!AO64-SOO!AO40)</f>
        <v>90193.421706016365</v>
      </c>
      <c r="AP25" s="3">
        <f>(AO11+AO12+AO13+SOO!AO64-SOO!AO40)+(AP11+AP12+AP13+SOO!AP64-SOO!AP40)</f>
        <v>82124.701476482936</v>
      </c>
      <c r="AQ25" s="3">
        <f>(AP11+AP12+AP13+SOO!AP64-SOO!AP40)+(AQ11+AQ12+AQ13+SOO!AQ64-SOO!AQ40)</f>
        <v>73626.739945093315</v>
      </c>
      <c r="AS25" s="3">
        <f>(AQ11+AQ12+AQ13+SOO!AQ64-SOO!AQ40)+(AS11+AS12+AS13+SOO!AS64-SOO!AS40)</f>
        <v>70183.892063473744</v>
      </c>
      <c r="AT25" s="3">
        <f>(AS11+AS12+AS13+SOO!AS64-SOO!AS40)+(AT11+AT12+AT13+SOO!AT64-SOO!AT40)</f>
        <v>70326.752206525867</v>
      </c>
      <c r="AU25" s="3">
        <f>(AT11+AT12+AT13+SOO!AT64-SOO!AT40)+(AU11+AU12+AU13+SOO!AU64-SOO!AU40)</f>
        <v>78362.178915330747</v>
      </c>
      <c r="AV25" s="3">
        <f>(AU11+AU12+AU13+SOO!AU64-SOO!AU40)+(AV11+AV12+AV13+SOO!AV64-SOO!AV40)</f>
        <v>87491.970026426308</v>
      </c>
      <c r="AW25" s="3">
        <f>(AV11+AV12+AV13+SOO!AV64-SOO!AV40)+(AW11+AW12+AW13+SOO!AW64-SOO!AW40)</f>
        <v>92714.970455764036</v>
      </c>
      <c r="AX25" s="3">
        <f>(AW11+AW12+AW13+SOO!AW64-SOO!AW40)+(AX11+AX12+AX13+SOO!AX64-SOO!AX40)</f>
        <v>92970.768925704862</v>
      </c>
      <c r="AY25" s="3">
        <f>(AX11+AX12+AX13+SOO!AX64-SOO!AX40)+(AY11+AY12+AY13+SOO!AY64-SOO!AY40)</f>
        <v>90182.733726502687</v>
      </c>
      <c r="AZ25" s="3">
        <f>(AY11+AY12+AY13+SOO!AY64-SOO!AY40)+(AZ11+AZ12+AZ13+SOO!AZ64-SOO!AZ40)</f>
        <v>94117.969635983231</v>
      </c>
      <c r="BA25" s="3">
        <f>(AZ11+AZ12+AZ13+SOO!AZ64-SOO!AZ40)+(BA11+BA12+BA13+SOO!BA64-SOO!BA40)</f>
        <v>96948.063785159349</v>
      </c>
      <c r="BB25" s="3">
        <f>(BA11+BA12+BA13+SOO!BA64-SOO!BA40)+(BB11+BB12+BB13+SOO!BB64-SOO!BB40)</f>
        <v>93708.318614404037</v>
      </c>
      <c r="BC25" s="3">
        <f>(BB11+BB12+BB13+SOO!BB64-SOO!BB40)+(BC11+BC12+BC13+SOO!BC64-SOO!BC40)</f>
        <v>85219.373742698081</v>
      </c>
      <c r="BD25" s="3">
        <f>(BC11+BC12+BC13+SOO!BC64-SOO!BC40)+(BD11+BD12+BD13+SOO!BD64-SOO!BD40)</f>
        <v>76343.321341163537</v>
      </c>
      <c r="BE25" s="2"/>
      <c r="BF25" s="3">
        <f>(BD11+BD12+BD13+SOO!BD64-SOO!BD40)+(BF11+BF12+BF13+SOO!BF64-SOO!BF40)</f>
        <v>73281.047224046735</v>
      </c>
      <c r="BG25" s="3">
        <f>(BF11+BF12+BF13+SOO!BF64-SOO!BF40)+(BG11+BG12+BG13+SOO!BG64-SOO!BG40)</f>
        <v>73992.838085908908</v>
      </c>
      <c r="BH25" s="3">
        <f>(BG11+BG12+BG13+SOO!BG64-SOO!BG40)+(BH11+BH12+BH13+SOO!BH64-SOO!BH40)</f>
        <v>82732.857707594681</v>
      </c>
      <c r="BI25" s="3">
        <f>(BH11+BH12+BH13+SOO!BH64-SOO!BH40)+(BI11+BI12+BI13+SOO!BI64-SOO!BI40)</f>
        <v>92687.861964911048</v>
      </c>
      <c r="BJ25" s="3">
        <f>(BI11+BI12+BI13+SOO!BI64-SOO!BI40)+(BJ11+BJ12+BJ13+SOO!BJ64-SOO!BJ40)</f>
        <v>98396.079784967267</v>
      </c>
      <c r="BK25" s="3">
        <f>(BJ11+BJ12+BJ13+SOO!BJ64-SOO!BJ40)+(BK11+BK12+BK13+SOO!BK64-SOO!BK40)</f>
        <v>98660.807569019802</v>
      </c>
      <c r="BL25" s="3">
        <f>(BK11+BK12+BK13+SOO!BK64-SOO!BK40)+(BL11+BL12+BL13+SOO!BL64-SOO!BL40)</f>
        <v>95607.127915873876</v>
      </c>
      <c r="BM25" s="3">
        <f>(BL11+BL12+BL13+SOO!BL64-SOO!BL40)+(BM11+BM12+BM13+SOO!BM64-SOO!BM40)</f>
        <v>99902.819435081503</v>
      </c>
      <c r="BN25" s="3">
        <f>(BM11+BM12+BM13+SOO!BM64-SOO!BM40)+(BN11+BN12+BN13+SOO!BN64-SOO!BN40)</f>
        <v>103010.74591240184</v>
      </c>
      <c r="BO25" s="3">
        <f>(BN11+BN12+BN13+SOO!BN64-SOO!BN40)+(BO11+BO12+BO13+SOO!BO64-SOO!BO40)</f>
        <v>99506.279296875873</v>
      </c>
      <c r="BP25" s="3">
        <f>(BO11+BO12+BO13+SOO!BO64-SOO!BO40)+(BP11+BP12+BP13+SOO!BP64-SOO!BP40)</f>
        <v>90899.259280441445</v>
      </c>
      <c r="BQ25" s="3">
        <f>(BP11+BP12+BP13+SOO!BP64-SOO!BP40)+(BQ11+BQ12+BQ13+SOO!BQ64-SOO!BQ40)</f>
        <v>82047.148616842765</v>
      </c>
    </row>
    <row r="26" spans="1:69" ht="15.75" customHeight="1">
      <c r="A26" s="2"/>
      <c r="B26" s="2"/>
      <c r="C26" s="2" t="s">
        <v>20</v>
      </c>
      <c r="D26" s="2"/>
      <c r="E26" s="2"/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9"/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"/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2"/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</row>
    <row r="27" spans="1:69" ht="15.75" hidden="1" customHeight="1">
      <c r="A27" s="2"/>
      <c r="B27" s="2"/>
      <c r="C27" s="2" t="s">
        <v>21</v>
      </c>
      <c r="D27" s="2"/>
      <c r="E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2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</row>
    <row r="28" spans="1:69" ht="15.75" customHeight="1">
      <c r="A28" s="2"/>
      <c r="B28" s="2"/>
      <c r="C28" s="2" t="s">
        <v>22</v>
      </c>
      <c r="D28" s="2"/>
      <c r="E28" s="2"/>
      <c r="F28" s="3">
        <f>Assumptions!$C$48*(SOO!F16-SOO!F15)</f>
        <v>3292.4638283981712</v>
      </c>
      <c r="G28" s="3">
        <f>(Assumptions!$C$48*(SOO!G16-SOO!G15))+F28</f>
        <v>6812.3354322462274</v>
      </c>
      <c r="H28" s="3">
        <f>(Assumptions!$C$48*(SOO!H16-SOO!H15))+G28</f>
        <v>11751.031174843485</v>
      </c>
      <c r="I28" s="3">
        <f>(Assumptions!$C$48*(SOO!I16-SOO!I15))</f>
        <v>5852.5630019967566</v>
      </c>
      <c r="J28" s="3">
        <f>(Assumptions!$C$48*(SOO!J16-SOO!J15))+I28</f>
        <v>12437.4906587931</v>
      </c>
      <c r="K28" s="3">
        <f>(Assumptions!$C$48*(SOO!K16-SOO!K15))+J28</f>
        <v>18290.053660789858</v>
      </c>
      <c r="L28" s="3">
        <f>(Assumptions!$C$48*(SOO!L16-SOO!L15))</f>
        <v>5487.4397139969524</v>
      </c>
      <c r="M28" s="3">
        <f>(Assumptions!$C$48*(SOO!M16-SOO!M15))+L28</f>
        <v>12346.739356493143</v>
      </c>
      <c r="N28" s="3">
        <f>(Assumptions!$C$48*(SOO!N16-SOO!N15))+M28</f>
        <v>18997.379131489455</v>
      </c>
      <c r="O28" s="3">
        <f>(Assumptions!$C$48*(SOO!O16-SOO!O15))</f>
        <v>6584.9276567963425</v>
      </c>
      <c r="P28" s="3">
        <f>(Assumptions!$C$48*(SOO!P16-SOO!P15))+O28</f>
        <v>11373.388294793689</v>
      </c>
      <c r="Q28" s="3">
        <f>(Assumptions!$C$48*(SOO!Q16-SOO!Q15))+P28</f>
        <v>15763.340065991253</v>
      </c>
      <c r="R28" s="3"/>
      <c r="S28" s="3">
        <f>Assumptions!$C$48*(SOO!S16-SOO!S15)</f>
        <v>3761.6928314139655</v>
      </c>
      <c r="T28" s="3">
        <f>(Assumptions!$C$48*(SOO!T16-SOO!T15))+S28</f>
        <v>7761.0194841672528</v>
      </c>
      <c r="U28" s="3">
        <f>(Assumptions!$C$48*(SOO!U16-SOO!U15))+T28</f>
        <v>13403.558731288202</v>
      </c>
      <c r="V28" s="3">
        <f>(Assumptions!$C$48*(SOO!V16-SOO!V15))</f>
        <v>6673.9711525086477</v>
      </c>
      <c r="W28" s="3">
        <f>(Assumptions!$C$48*(SOO!W16-SOO!W15))+V28</f>
        <v>14197.356815336578</v>
      </c>
      <c r="X28" s="3">
        <f>(Assumptions!$C$48*(SOO!X16-SOO!X15))+W28</f>
        <v>20871.327967845224</v>
      </c>
      <c r="Y28" s="3">
        <f>(Assumptions!$C$48*(SOO!Y16-SOO!Y15))</f>
        <v>6269.4880523566089</v>
      </c>
      <c r="Z28" s="3">
        <f>(Assumptions!$C$48*(SOO!Z16-SOO!Z15))+Y28</f>
        <v>14106.348117802369</v>
      </c>
      <c r="AA28" s="3">
        <f>(Assumptions!$C$48*(SOO!AA16-SOO!AA15))+Z28</f>
        <v>21690.406245653103</v>
      </c>
      <c r="AB28" s="3">
        <f>(Assumptions!$C$48*(SOO!AB16-SOO!AB15))</f>
        <v>7523.3856628279309</v>
      </c>
      <c r="AC28" s="3">
        <f>(Assumptions!$C$48*(SOO!AC16-SOO!AC15))+AB28</f>
        <v>12983.907514880462</v>
      </c>
      <c r="AD28" s="3">
        <f>(Assumptions!$C$48*(SOO!AD16-SOO!AD15))+AC28</f>
        <v>17999.49795676575</v>
      </c>
      <c r="AE28" s="3"/>
      <c r="AF28" s="3">
        <f>Assumptions!$C$48*(SOO!AF16-SOO!AF15)</f>
        <v>4303.0616636256755</v>
      </c>
      <c r="AG28" s="3">
        <f>(Assumptions!$C$48*(SOO!AG16-SOO!AG15))+AF28</f>
        <v>8877.9565237438328</v>
      </c>
      <c r="AH28" s="3">
        <f>(Assumptions!$C$48*(SOO!AH16-SOO!AH15))+AG28</f>
        <v>15332.54901918235</v>
      </c>
      <c r="AI28" s="3">
        <f>(Assumptions!$C$48*(SOO!AI16-SOO!AI15))</f>
        <v>7634.4642419165239</v>
      </c>
      <c r="AJ28" s="3">
        <f>(Assumptions!$C$48*(SOO!AJ16-SOO!AJ15))+AI28</f>
        <v>16240.587569167874</v>
      </c>
      <c r="AK28" s="3">
        <f>(Assumptions!$C$48*(SOO!AK16-SOO!AK15))+AJ28</f>
        <v>23875.051811084399</v>
      </c>
      <c r="AL28" s="3">
        <f>(Assumptions!$C$48*(SOO!AL16-SOO!AL15))</f>
        <v>7171.7694393761285</v>
      </c>
      <c r="AM28" s="3">
        <f>(Assumptions!$C$48*(SOO!AM16-SOO!AM15))+AL28</f>
        <v>16136.481238596287</v>
      </c>
      <c r="AN28" s="3">
        <f>(Assumptions!$C$48*(SOO!AN16-SOO!AN15))+AM28</f>
        <v>24812.008786228696</v>
      </c>
      <c r="AO28" s="3">
        <f>(Assumptions!$C$48*(SOO!AO16-SOO!AO15))</f>
        <v>8606.1233272513509</v>
      </c>
      <c r="AP28" s="3">
        <f>(Assumptions!$C$48*(SOO!AP16-SOO!AP15))+AO28</f>
        <v>14852.503161546687</v>
      </c>
      <c r="AQ28" s="3">
        <f>(Assumptions!$C$48*(SOO!AQ16-SOO!AQ15))+AP28</f>
        <v>20589.918713047591</v>
      </c>
      <c r="AS28" s="3">
        <f>Assumptions!$C$48*(SOO!AS16-SOO!AS15)</f>
        <v>4518.2147468069606</v>
      </c>
      <c r="AT28" s="3">
        <f>(Assumptions!$C$48*(SOO!AT16-SOO!AT15))+AS28</f>
        <v>9321.8543499310272</v>
      </c>
      <c r="AU28" s="3">
        <f>(Assumptions!$C$48*(SOO!AU16-SOO!AU15))+AT28</f>
        <v>16099.176470141469</v>
      </c>
      <c r="AV28" s="3">
        <f>(Assumptions!$C$48*(SOO!AV16-SOO!AV15))</f>
        <v>8016.1874540123508</v>
      </c>
      <c r="AW28" s="3">
        <f>(Assumptions!$C$48*(SOO!AW16-SOO!AW15))+AV28</f>
        <v>17052.616947626273</v>
      </c>
      <c r="AX28" s="3">
        <f>(Assumptions!$C$48*(SOO!AX16-SOO!AX15))+AW28</f>
        <v>25068.804401638623</v>
      </c>
      <c r="AY28" s="3">
        <f>(Assumptions!$C$48*(SOO!AY16-SOO!AY15))</f>
        <v>7530.357911344935</v>
      </c>
      <c r="AZ28" s="3">
        <f>(Assumptions!$C$48*(SOO!AZ16-SOO!AZ15))+AY28</f>
        <v>16943.305300526106</v>
      </c>
      <c r="BA28" s="3">
        <f>(Assumptions!$C$48*(SOO!BA16-SOO!BA15))+AZ28</f>
        <v>26052.609225540138</v>
      </c>
      <c r="BB28" s="3">
        <f>(Assumptions!$C$48*(SOO!BB16-SOO!BB15))</f>
        <v>9036.4294936139213</v>
      </c>
      <c r="BC28" s="3">
        <f>(Assumptions!$C$48*(SOO!BC16-SOO!BC15))+BB28</f>
        <v>15595.128319624026</v>
      </c>
      <c r="BD28" s="3">
        <f>(Assumptions!$C$48*(SOO!BD16-SOO!BD15))+BC28</f>
        <v>21619.414648699974</v>
      </c>
      <c r="BE28" s="2"/>
      <c r="BF28" s="3">
        <f>Assumptions!$C$48*(SOO!BF16-SOO!BF15)</f>
        <v>4933.5432871113326</v>
      </c>
      <c r="BG28" s="3">
        <f>(Assumptions!$C$48*(SOO!BG16-SOO!BG15))+BF28</f>
        <v>10178.748582951474</v>
      </c>
      <c r="BH28" s="3">
        <f>(Assumptions!$C$48*(SOO!BH16-SOO!BH15))+BG28</f>
        <v>17579.063513618472</v>
      </c>
      <c r="BI28" s="3">
        <f>(Assumptions!$C$48*(SOO!BI16-SOO!BI15))</f>
        <v>8753.0606706813978</v>
      </c>
      <c r="BJ28" s="3">
        <f>(Assumptions!$C$48*(SOO!BJ16-SOO!BJ15))+BI28</f>
        <v>18620.147244904063</v>
      </c>
      <c r="BK28" s="3">
        <f>(Assumptions!$C$48*(SOO!BK16-SOO!BK15))+BJ28</f>
        <v>27373.207915585459</v>
      </c>
      <c r="BL28" s="3">
        <f>(Assumptions!$C$48*(SOO!BL16-SOO!BL15))</f>
        <v>8222.5721451855516</v>
      </c>
      <c r="BM28" s="3">
        <f>(Assumptions!$C$48*(SOO!BM16-SOO!BM15))+BL28</f>
        <v>18500.787326667494</v>
      </c>
      <c r="BN28" s="3">
        <f>(Assumptions!$C$48*(SOO!BN16-SOO!BN15))+BM28</f>
        <v>28447.447179714534</v>
      </c>
      <c r="BO28" s="3">
        <f>(Assumptions!$C$48*(SOO!BO16-SOO!BO15))</f>
        <v>9867.0865742226651</v>
      </c>
      <c r="BP28" s="3">
        <f>(Assumptions!$C$48*(SOO!BP16-SOO!BP15))+BO28</f>
        <v>17028.681668416535</v>
      </c>
      <c r="BQ28" s="3">
        <f>(Assumptions!$C$48*(SOO!BQ16-SOO!BQ15))+BP28</f>
        <v>23606.739384564979</v>
      </c>
    </row>
    <row r="29" spans="1:69" ht="15.75" customHeight="1">
      <c r="A29" s="2"/>
      <c r="B29" s="2"/>
      <c r="C29" s="2"/>
      <c r="D29" s="2"/>
      <c r="E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2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</row>
    <row r="30" spans="1:69" ht="15.75" customHeight="1">
      <c r="A30" s="2"/>
      <c r="B30" s="2"/>
      <c r="C30" s="2"/>
      <c r="D30" s="2" t="s">
        <v>24</v>
      </c>
      <c r="E30" s="2"/>
      <c r="F30" s="18">
        <f t="shared" ref="F30:Q30" si="10">SUM(F25:F29)</f>
        <v>44783.746809763157</v>
      </c>
      <c r="G30" s="18">
        <f t="shared" si="10"/>
        <v>78363.298896641863</v>
      </c>
      <c r="H30" s="18">
        <f t="shared" si="10"/>
        <v>76235.778508919364</v>
      </c>
      <c r="I30" s="18">
        <f t="shared" si="10"/>
        <v>76956.64566096192</v>
      </c>
      <c r="J30" s="18">
        <f t="shared" si="10"/>
        <v>87341.039046132471</v>
      </c>
      <c r="K30" s="18">
        <f t="shared" si="10"/>
        <v>93368.717042078846</v>
      </c>
      <c r="L30" s="18">
        <f t="shared" si="10"/>
        <v>78531.355757833939</v>
      </c>
      <c r="M30" s="18">
        <f t="shared" si="10"/>
        <v>88245.946651912964</v>
      </c>
      <c r="N30" s="18">
        <f t="shared" si="10"/>
        <v>96970.049032488867</v>
      </c>
      <c r="O30" s="18">
        <f t="shared" si="10"/>
        <v>82232.729046808454</v>
      </c>
      <c r="P30" s="18">
        <f t="shared" si="10"/>
        <v>81042.215929777361</v>
      </c>
      <c r="Q30" s="18">
        <f t="shared" si="10"/>
        <v>79231.301630978181</v>
      </c>
      <c r="R30" s="3"/>
      <c r="S30" s="18">
        <f t="shared" ref="S30:AD30" si="11">SUM(S25:S29)</f>
        <v>65720.604169927799</v>
      </c>
      <c r="T30" s="18">
        <f t="shared" si="11"/>
        <v>70980.881310613637</v>
      </c>
      <c r="U30" s="18">
        <f t="shared" si="11"/>
        <v>83321.317663205074</v>
      </c>
      <c r="V30" s="18">
        <f t="shared" si="11"/>
        <v>84203.965708048214</v>
      </c>
      <c r="W30" s="18">
        <f t="shared" si="11"/>
        <v>96084.501276370807</v>
      </c>
      <c r="X30" s="18">
        <f t="shared" si="11"/>
        <v>102971.20228035378</v>
      </c>
      <c r="Y30" s="18">
        <f t="shared" si="11"/>
        <v>86042.230658066634</v>
      </c>
      <c r="Z30" s="18">
        <f t="shared" si="11"/>
        <v>97159.616742298749</v>
      </c>
      <c r="AA30" s="18">
        <f t="shared" si="11"/>
        <v>107107.43514682012</v>
      </c>
      <c r="AB30" s="18">
        <f t="shared" si="11"/>
        <v>90242.344412088234</v>
      </c>
      <c r="AC30" s="18">
        <f t="shared" si="11"/>
        <v>88721.344361385156</v>
      </c>
      <c r="AD30" s="18">
        <f t="shared" si="11"/>
        <v>86494.679133932659</v>
      </c>
      <c r="AE30" s="3"/>
      <c r="AF30" s="18">
        <f t="shared" ref="AF30:AQ30" si="12">SUM(AF25:AF29)</f>
        <v>70917.631820318478</v>
      </c>
      <c r="AG30" s="18">
        <f t="shared" si="12"/>
        <v>76782.666949780192</v>
      </c>
      <c r="AH30" s="18">
        <f t="shared" si="12"/>
        <v>90869.042280842623</v>
      </c>
      <c r="AI30" s="18">
        <f t="shared" si="12"/>
        <v>91865.996657001146</v>
      </c>
      <c r="AJ30" s="18">
        <f t="shared" si="12"/>
        <v>105460.40911149463</v>
      </c>
      <c r="AK30" s="18">
        <f t="shared" si="12"/>
        <v>113325.50428683677</v>
      </c>
      <c r="AL30" s="18">
        <f t="shared" si="12"/>
        <v>93952.269728064639</v>
      </c>
      <c r="AM30" s="18">
        <f t="shared" si="12"/>
        <v>106668.32600161542</v>
      </c>
      <c r="AN30" s="18">
        <f t="shared" si="12"/>
        <v>118062.89607531391</v>
      </c>
      <c r="AO30" s="18">
        <f t="shared" si="12"/>
        <v>98799.545033267714</v>
      </c>
      <c r="AP30" s="18">
        <f t="shared" si="12"/>
        <v>96977.204638029623</v>
      </c>
      <c r="AQ30" s="18">
        <f t="shared" si="12"/>
        <v>94216.658658140906</v>
      </c>
      <c r="AS30" s="18">
        <f t="shared" ref="AS30:BD30" si="13">SUM(AS25:AS29)</f>
        <v>74702.106810280704</v>
      </c>
      <c r="AT30" s="18">
        <f t="shared" si="13"/>
        <v>79648.6065564569</v>
      </c>
      <c r="AU30" s="18">
        <f t="shared" si="13"/>
        <v>94461.355385472212</v>
      </c>
      <c r="AV30" s="18">
        <f t="shared" si="13"/>
        <v>95508.157480438662</v>
      </c>
      <c r="AW30" s="18">
        <f t="shared" si="13"/>
        <v>109767.58740339031</v>
      </c>
      <c r="AX30" s="18">
        <f t="shared" si="13"/>
        <v>118039.57332734349</v>
      </c>
      <c r="AY30" s="18">
        <f t="shared" si="13"/>
        <v>97713.091637847625</v>
      </c>
      <c r="AZ30" s="18">
        <f t="shared" si="13"/>
        <v>111061.27493650933</v>
      </c>
      <c r="BA30" s="18">
        <f t="shared" si="13"/>
        <v>123000.67301069948</v>
      </c>
      <c r="BB30" s="18">
        <f t="shared" si="13"/>
        <v>102744.74810801796</v>
      </c>
      <c r="BC30" s="18">
        <f t="shared" si="13"/>
        <v>100814.50206232211</v>
      </c>
      <c r="BD30" s="18">
        <f t="shared" si="13"/>
        <v>97962.735989863519</v>
      </c>
      <c r="BE30" s="2"/>
      <c r="BF30" s="18">
        <f t="shared" ref="BF30:BQ30" si="14">SUM(BF25:BF29)</f>
        <v>78214.590511158065</v>
      </c>
      <c r="BG30" s="18">
        <f t="shared" si="14"/>
        <v>84171.586668860386</v>
      </c>
      <c r="BH30" s="18">
        <f t="shared" si="14"/>
        <v>100311.92122121315</v>
      </c>
      <c r="BI30" s="18">
        <f t="shared" si="14"/>
        <v>101440.92263559245</v>
      </c>
      <c r="BJ30" s="18">
        <f t="shared" si="14"/>
        <v>117016.22702987133</v>
      </c>
      <c r="BK30" s="18">
        <f t="shared" si="14"/>
        <v>126034.01548460526</v>
      </c>
      <c r="BL30" s="18">
        <f t="shared" si="14"/>
        <v>103829.70006105943</v>
      </c>
      <c r="BM30" s="18">
        <f t="shared" si="14"/>
        <v>118403.60676174899</v>
      </c>
      <c r="BN30" s="18">
        <f t="shared" si="14"/>
        <v>131458.19309211636</v>
      </c>
      <c r="BO30" s="18">
        <f t="shared" si="14"/>
        <v>109373.36587109853</v>
      </c>
      <c r="BP30" s="18">
        <f t="shared" si="14"/>
        <v>107927.94094885798</v>
      </c>
      <c r="BQ30" s="18">
        <f t="shared" si="14"/>
        <v>105653.88800140774</v>
      </c>
    </row>
    <row r="31" spans="1:69" ht="15.75" customHeight="1">
      <c r="A31" s="2"/>
      <c r="B31" s="2"/>
      <c r="C31" s="2"/>
      <c r="D31" s="2"/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</row>
    <row r="32" spans="1:69" ht="15.75" customHeight="1">
      <c r="A32" s="2"/>
      <c r="B32" s="1" t="s">
        <v>25</v>
      </c>
      <c r="C32" s="2"/>
      <c r="D32" s="2"/>
      <c r="E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</row>
    <row r="33" spans="1:69" ht="15.75" customHeight="1">
      <c r="A33" s="2"/>
      <c r="B33" s="1"/>
      <c r="C33" s="2" t="s">
        <v>26</v>
      </c>
      <c r="D33" s="2"/>
      <c r="E33" s="2"/>
      <c r="F33" s="3">
        <f>SOCF!G35+SOCF!G34</f>
        <v>0</v>
      </c>
      <c r="G33" s="3">
        <f>SOCF!H35+SOCF!H34+F33</f>
        <v>0</v>
      </c>
      <c r="H33" s="3">
        <f>SOCF!I35+SOCF!I34+G33</f>
        <v>0</v>
      </c>
      <c r="I33" s="3">
        <f>SOCF!J35+SOCF!J34+H33</f>
        <v>0</v>
      </c>
      <c r="J33" s="3">
        <f>SOCF!K35+SOCF!K34+I33</f>
        <v>0</v>
      </c>
      <c r="K33" s="3">
        <f>SOCF!L35+SOCF!L34+J33</f>
        <v>0</v>
      </c>
      <c r="L33" s="3">
        <f>SOCF!M35+SOCF!M34+K33</f>
        <v>0</v>
      </c>
      <c r="M33" s="3">
        <f>SOCF!N35+SOCF!N34+L33</f>
        <v>0</v>
      </c>
      <c r="N33" s="3">
        <f>SOCF!O35+SOCF!O34+M33</f>
        <v>0</v>
      </c>
      <c r="O33" s="3">
        <f>SOCF!P35+SOCF!P34+N33</f>
        <v>0</v>
      </c>
      <c r="P33" s="3">
        <f>SOCF!Q35+SOCF!Q34+O33</f>
        <v>0</v>
      </c>
      <c r="Q33" s="3">
        <f>SOCF!R35+SOCF!R34+P33</f>
        <v>0</v>
      </c>
      <c r="R33" s="3"/>
      <c r="S33" s="3">
        <f>SOCF!T35+SOCF!T34+Q33</f>
        <v>0</v>
      </c>
      <c r="T33" s="3">
        <f>SOCF!U35+SOCF!U34+S33</f>
        <v>0</v>
      </c>
      <c r="U33" s="3">
        <f>SOCF!V35+SOCF!V34+T33</f>
        <v>0</v>
      </c>
      <c r="V33" s="3">
        <f>SOCF!W35+SOCF!W34+U33</f>
        <v>0</v>
      </c>
      <c r="W33" s="3">
        <f>SOCF!X35+SOCF!X34+V33</f>
        <v>0</v>
      </c>
      <c r="X33" s="3">
        <f>SOCF!Y35+SOCF!Y34+W33</f>
        <v>0</v>
      </c>
      <c r="Y33" s="3">
        <f>SOCF!Z35+SOCF!Z34+X33</f>
        <v>0</v>
      </c>
      <c r="Z33" s="3">
        <f>SOCF!AA35+SOCF!AA34+Y33</f>
        <v>0</v>
      </c>
      <c r="AA33" s="3">
        <f>SOCF!AB35+SOCF!AB34+Z33</f>
        <v>0</v>
      </c>
      <c r="AB33" s="3">
        <f>SOCF!AC35+SOCF!AC34+AA33</f>
        <v>0</v>
      </c>
      <c r="AC33" s="3">
        <f>SOCF!AD35+SOCF!AD34+AB33</f>
        <v>0</v>
      </c>
      <c r="AD33" s="3">
        <f>SOCF!AE35+SOCF!AE34+AC33</f>
        <v>0</v>
      </c>
      <c r="AE33" s="3"/>
      <c r="AF33" s="3">
        <f>SOCF!AG35+SOCF!AG34+AD33</f>
        <v>0</v>
      </c>
      <c r="AG33" s="3">
        <f>SOCF!AH35+SOCF!AH34+AF33</f>
        <v>0</v>
      </c>
      <c r="AH33" s="3">
        <f>SOCF!AI35+SOCF!AI34+AG33</f>
        <v>0</v>
      </c>
      <c r="AI33" s="3">
        <f>SOCF!AJ35+SOCF!AJ34+AH33</f>
        <v>0</v>
      </c>
      <c r="AJ33" s="3">
        <f>SOCF!AK35+SOCF!AK34+AI33</f>
        <v>0</v>
      </c>
      <c r="AK33" s="3">
        <f>SOCF!AL35+SOCF!AL34+AJ33</f>
        <v>0</v>
      </c>
      <c r="AL33" s="3">
        <f>SOCF!AM35+SOCF!AM34+AK33</f>
        <v>0</v>
      </c>
      <c r="AM33" s="3">
        <f>SOCF!AN35+SOCF!AN34+AL33</f>
        <v>0</v>
      </c>
      <c r="AN33" s="3">
        <f>SOCF!AO35+SOCF!AO34+AM33</f>
        <v>0</v>
      </c>
      <c r="AO33" s="3">
        <f>SOCF!AP35+SOCF!AP34+AN33</f>
        <v>0</v>
      </c>
      <c r="AP33" s="3">
        <f>SOCF!AQ35+SOCF!AQ34+AO33</f>
        <v>0</v>
      </c>
      <c r="AQ33" s="3">
        <f>SOCF!AR35+SOCF!AR34+AP33</f>
        <v>0</v>
      </c>
      <c r="AS33" s="3">
        <f>SOCF!AT35+SOCF!AT34+AQ33</f>
        <v>0</v>
      </c>
      <c r="AT33" s="3">
        <f>SOCF!AU35+SOCF!AU34+AS33</f>
        <v>0</v>
      </c>
      <c r="AU33" s="3">
        <f>SOCF!AV35+SOCF!AV34+AT33</f>
        <v>0</v>
      </c>
      <c r="AV33" s="3">
        <f>SOCF!AW35+SOCF!AW34+AU33</f>
        <v>0</v>
      </c>
      <c r="AW33" s="3">
        <f>SOCF!AX35+SOCF!AX34+AV33</f>
        <v>0</v>
      </c>
      <c r="AX33" s="3">
        <f>SOCF!AY35+SOCF!AY34+AW33</f>
        <v>0</v>
      </c>
      <c r="AY33" s="3">
        <f>SOCF!AZ35+SOCF!AZ34+AX33</f>
        <v>0</v>
      </c>
      <c r="AZ33" s="3">
        <f>SOCF!BA35+SOCF!BA34+AY33</f>
        <v>0</v>
      </c>
      <c r="BA33" s="3">
        <f>SOCF!BB35+SOCF!BB34+AZ33</f>
        <v>0</v>
      </c>
      <c r="BB33" s="3">
        <f>SOCF!BC35+SOCF!BC34+BA33</f>
        <v>0</v>
      </c>
      <c r="BC33" s="3">
        <f>SOCF!BD35+SOCF!BD34+BB33</f>
        <v>0</v>
      </c>
      <c r="BD33" s="3">
        <f>SOCF!BE35+SOCF!BE34+BC33</f>
        <v>0</v>
      </c>
      <c r="BE33" s="2"/>
      <c r="BF33" s="3">
        <f>SOCF!BG35+SOCF!BG34+BD33</f>
        <v>0</v>
      </c>
      <c r="BG33" s="3">
        <f>SOCF!BH35+SOCF!BH34+BF33</f>
        <v>0</v>
      </c>
      <c r="BH33" s="3">
        <f>SOCF!BI35+SOCF!BI34+BG33</f>
        <v>0</v>
      </c>
      <c r="BI33" s="3">
        <f>SOCF!BJ35+SOCF!BJ34+BH33</f>
        <v>0</v>
      </c>
      <c r="BJ33" s="3">
        <f>SOCF!BK35+SOCF!BK34+BI33</f>
        <v>0</v>
      </c>
      <c r="BK33" s="3">
        <f>SOCF!BL35+SOCF!BL34+BJ33</f>
        <v>0</v>
      </c>
      <c r="BL33" s="3">
        <f>SOCF!BM35+SOCF!BM34+BK33</f>
        <v>0</v>
      </c>
      <c r="BM33" s="3">
        <f>SOCF!BN35+SOCF!BN34+BL33</f>
        <v>0</v>
      </c>
      <c r="BN33" s="3">
        <f>SOCF!BO35+SOCF!BO34+BM33</f>
        <v>0</v>
      </c>
      <c r="BO33" s="3">
        <f>SOCF!BP35+SOCF!BP34+BN33</f>
        <v>0</v>
      </c>
      <c r="BP33" s="3">
        <f>SOCF!BQ35+SOCF!BQ34+BO33</f>
        <v>0</v>
      </c>
      <c r="BQ33" s="3">
        <f>SOCF!BR35+SOCF!BR34+BP33</f>
        <v>0</v>
      </c>
    </row>
    <row r="34" spans="1:69" ht="15.75" customHeight="1">
      <c r="A34" s="2"/>
      <c r="B34" s="2"/>
      <c r="C34" s="2"/>
      <c r="D34" s="2" t="s">
        <v>27</v>
      </c>
      <c r="E34" s="2"/>
      <c r="F34" s="18">
        <f t="shared" ref="F34:Q34" si="15">SUM(F33)</f>
        <v>0</v>
      </c>
      <c r="G34" s="18">
        <f t="shared" si="15"/>
        <v>0</v>
      </c>
      <c r="H34" s="18">
        <f t="shared" si="15"/>
        <v>0</v>
      </c>
      <c r="I34" s="18">
        <f t="shared" si="15"/>
        <v>0</v>
      </c>
      <c r="J34" s="18">
        <f t="shared" si="15"/>
        <v>0</v>
      </c>
      <c r="K34" s="18">
        <f t="shared" si="15"/>
        <v>0</v>
      </c>
      <c r="L34" s="18">
        <f t="shared" si="15"/>
        <v>0</v>
      </c>
      <c r="M34" s="18">
        <f t="shared" si="15"/>
        <v>0</v>
      </c>
      <c r="N34" s="18">
        <f t="shared" si="15"/>
        <v>0</v>
      </c>
      <c r="O34" s="18">
        <f t="shared" si="15"/>
        <v>0</v>
      </c>
      <c r="P34" s="18">
        <f t="shared" si="15"/>
        <v>0</v>
      </c>
      <c r="Q34" s="18">
        <f t="shared" si="15"/>
        <v>0</v>
      </c>
      <c r="R34" s="3"/>
      <c r="S34" s="18">
        <f t="shared" ref="S34:AD34" si="16">SUM(S33)</f>
        <v>0</v>
      </c>
      <c r="T34" s="18">
        <f t="shared" si="16"/>
        <v>0</v>
      </c>
      <c r="U34" s="18">
        <f t="shared" si="16"/>
        <v>0</v>
      </c>
      <c r="V34" s="18">
        <f t="shared" si="16"/>
        <v>0</v>
      </c>
      <c r="W34" s="18">
        <f t="shared" si="16"/>
        <v>0</v>
      </c>
      <c r="X34" s="18">
        <f t="shared" si="16"/>
        <v>0</v>
      </c>
      <c r="Y34" s="18">
        <f t="shared" si="16"/>
        <v>0</v>
      </c>
      <c r="Z34" s="18">
        <f t="shared" si="16"/>
        <v>0</v>
      </c>
      <c r="AA34" s="18">
        <f t="shared" si="16"/>
        <v>0</v>
      </c>
      <c r="AB34" s="18">
        <f t="shared" si="16"/>
        <v>0</v>
      </c>
      <c r="AC34" s="18">
        <f t="shared" si="16"/>
        <v>0</v>
      </c>
      <c r="AD34" s="18">
        <f t="shared" si="16"/>
        <v>0</v>
      </c>
      <c r="AE34" s="3"/>
      <c r="AF34" s="18">
        <f t="shared" ref="AF34:AQ34" si="17">SUM(AF33)</f>
        <v>0</v>
      </c>
      <c r="AG34" s="18">
        <f t="shared" si="17"/>
        <v>0</v>
      </c>
      <c r="AH34" s="18">
        <f t="shared" si="17"/>
        <v>0</v>
      </c>
      <c r="AI34" s="18">
        <f t="shared" si="17"/>
        <v>0</v>
      </c>
      <c r="AJ34" s="18">
        <f t="shared" si="17"/>
        <v>0</v>
      </c>
      <c r="AK34" s="18">
        <f t="shared" si="17"/>
        <v>0</v>
      </c>
      <c r="AL34" s="18">
        <f t="shared" si="17"/>
        <v>0</v>
      </c>
      <c r="AM34" s="18">
        <f t="shared" si="17"/>
        <v>0</v>
      </c>
      <c r="AN34" s="18">
        <f t="shared" si="17"/>
        <v>0</v>
      </c>
      <c r="AO34" s="18">
        <f t="shared" si="17"/>
        <v>0</v>
      </c>
      <c r="AP34" s="18">
        <f t="shared" si="17"/>
        <v>0</v>
      </c>
      <c r="AQ34" s="18">
        <f t="shared" si="17"/>
        <v>0</v>
      </c>
      <c r="AS34" s="18">
        <f t="shared" ref="AS34:BD34" si="18">SUM(AS33)</f>
        <v>0</v>
      </c>
      <c r="AT34" s="18">
        <f t="shared" si="18"/>
        <v>0</v>
      </c>
      <c r="AU34" s="18">
        <f t="shared" si="18"/>
        <v>0</v>
      </c>
      <c r="AV34" s="18">
        <f t="shared" si="18"/>
        <v>0</v>
      </c>
      <c r="AW34" s="18">
        <f t="shared" si="18"/>
        <v>0</v>
      </c>
      <c r="AX34" s="18">
        <f t="shared" si="18"/>
        <v>0</v>
      </c>
      <c r="AY34" s="18">
        <f t="shared" si="18"/>
        <v>0</v>
      </c>
      <c r="AZ34" s="18">
        <f t="shared" si="18"/>
        <v>0</v>
      </c>
      <c r="BA34" s="18">
        <f t="shared" si="18"/>
        <v>0</v>
      </c>
      <c r="BB34" s="18">
        <f t="shared" si="18"/>
        <v>0</v>
      </c>
      <c r="BC34" s="18">
        <f t="shared" si="18"/>
        <v>0</v>
      </c>
      <c r="BD34" s="18">
        <f t="shared" si="18"/>
        <v>0</v>
      </c>
      <c r="BE34" s="2"/>
      <c r="BF34" s="18">
        <f t="shared" ref="BF34:BQ34" si="19">SUM(BF33)</f>
        <v>0</v>
      </c>
      <c r="BG34" s="18">
        <f t="shared" si="19"/>
        <v>0</v>
      </c>
      <c r="BH34" s="18">
        <f t="shared" si="19"/>
        <v>0</v>
      </c>
      <c r="BI34" s="18">
        <f t="shared" si="19"/>
        <v>0</v>
      </c>
      <c r="BJ34" s="18">
        <f t="shared" si="19"/>
        <v>0</v>
      </c>
      <c r="BK34" s="18">
        <f t="shared" si="19"/>
        <v>0</v>
      </c>
      <c r="BL34" s="18">
        <f t="shared" si="19"/>
        <v>0</v>
      </c>
      <c r="BM34" s="18">
        <f t="shared" si="19"/>
        <v>0</v>
      </c>
      <c r="BN34" s="18">
        <f t="shared" si="19"/>
        <v>0</v>
      </c>
      <c r="BO34" s="18">
        <f t="shared" si="19"/>
        <v>0</v>
      </c>
      <c r="BP34" s="18">
        <f t="shared" si="19"/>
        <v>0</v>
      </c>
      <c r="BQ34" s="18">
        <f t="shared" si="19"/>
        <v>0</v>
      </c>
    </row>
    <row r="35" spans="1:69" ht="15.75" customHeight="1">
      <c r="A35" s="2"/>
      <c r="B35" s="2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2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</row>
    <row r="36" spans="1:69" ht="15.75" customHeight="1">
      <c r="A36" s="2"/>
      <c r="B36" s="2"/>
      <c r="C36" s="2"/>
      <c r="D36" s="16"/>
      <c r="E36" s="16" t="s">
        <v>28</v>
      </c>
      <c r="F36" s="3">
        <f t="shared" ref="F36:Q36" si="20">F30+F34</f>
        <v>44783.746809763157</v>
      </c>
      <c r="G36" s="3">
        <f t="shared" si="20"/>
        <v>78363.298896641863</v>
      </c>
      <c r="H36" s="3">
        <f t="shared" si="20"/>
        <v>76235.778508919364</v>
      </c>
      <c r="I36" s="3">
        <f t="shared" si="20"/>
        <v>76956.64566096192</v>
      </c>
      <c r="J36" s="3">
        <f t="shared" si="20"/>
        <v>87341.039046132471</v>
      </c>
      <c r="K36" s="3">
        <f t="shared" si="20"/>
        <v>93368.717042078846</v>
      </c>
      <c r="L36" s="3">
        <f t="shared" si="20"/>
        <v>78531.355757833939</v>
      </c>
      <c r="M36" s="3">
        <f t="shared" si="20"/>
        <v>88245.946651912964</v>
      </c>
      <c r="N36" s="3">
        <f t="shared" si="20"/>
        <v>96970.049032488867</v>
      </c>
      <c r="O36" s="3">
        <f t="shared" si="20"/>
        <v>82232.729046808454</v>
      </c>
      <c r="P36" s="3">
        <f t="shared" si="20"/>
        <v>81042.215929777361</v>
      </c>
      <c r="Q36" s="3">
        <f t="shared" si="20"/>
        <v>79231.301630978181</v>
      </c>
      <c r="R36" s="3"/>
      <c r="S36" s="3">
        <f t="shared" ref="S36:AD36" si="21">S30+S34</f>
        <v>65720.604169927799</v>
      </c>
      <c r="T36" s="3">
        <f t="shared" si="21"/>
        <v>70980.881310613637</v>
      </c>
      <c r="U36" s="3">
        <f t="shared" si="21"/>
        <v>83321.317663205074</v>
      </c>
      <c r="V36" s="3">
        <f t="shared" si="21"/>
        <v>84203.965708048214</v>
      </c>
      <c r="W36" s="3">
        <f t="shared" si="21"/>
        <v>96084.501276370807</v>
      </c>
      <c r="X36" s="3">
        <f t="shared" si="21"/>
        <v>102971.20228035378</v>
      </c>
      <c r="Y36" s="3">
        <f t="shared" si="21"/>
        <v>86042.230658066634</v>
      </c>
      <c r="Z36" s="3">
        <f t="shared" si="21"/>
        <v>97159.616742298749</v>
      </c>
      <c r="AA36" s="3">
        <f t="shared" si="21"/>
        <v>107107.43514682012</v>
      </c>
      <c r="AB36" s="3">
        <f t="shared" si="21"/>
        <v>90242.344412088234</v>
      </c>
      <c r="AC36" s="3">
        <f t="shared" si="21"/>
        <v>88721.344361385156</v>
      </c>
      <c r="AD36" s="3">
        <f t="shared" si="21"/>
        <v>86494.679133932659</v>
      </c>
      <c r="AE36" s="3"/>
      <c r="AF36" s="3">
        <f t="shared" ref="AF36:AQ36" si="22">AF30+AF34</f>
        <v>70917.631820318478</v>
      </c>
      <c r="AG36" s="3">
        <f t="shared" si="22"/>
        <v>76782.666949780192</v>
      </c>
      <c r="AH36" s="3">
        <f t="shared" si="22"/>
        <v>90869.042280842623</v>
      </c>
      <c r="AI36" s="3">
        <f t="shared" si="22"/>
        <v>91865.996657001146</v>
      </c>
      <c r="AJ36" s="3">
        <f t="shared" si="22"/>
        <v>105460.40911149463</v>
      </c>
      <c r="AK36" s="3">
        <f t="shared" si="22"/>
        <v>113325.50428683677</v>
      </c>
      <c r="AL36" s="3">
        <f t="shared" si="22"/>
        <v>93952.269728064639</v>
      </c>
      <c r="AM36" s="3">
        <f t="shared" si="22"/>
        <v>106668.32600161542</v>
      </c>
      <c r="AN36" s="3">
        <f t="shared" si="22"/>
        <v>118062.89607531391</v>
      </c>
      <c r="AO36" s="3">
        <f t="shared" si="22"/>
        <v>98799.545033267714</v>
      </c>
      <c r="AP36" s="3">
        <f t="shared" si="22"/>
        <v>96977.204638029623</v>
      </c>
      <c r="AQ36" s="3">
        <f t="shared" si="22"/>
        <v>94216.658658140906</v>
      </c>
      <c r="AS36" s="3">
        <f t="shared" ref="AS36:BD36" si="23">AS30+AS34</f>
        <v>74702.106810280704</v>
      </c>
      <c r="AT36" s="3">
        <f t="shared" si="23"/>
        <v>79648.6065564569</v>
      </c>
      <c r="AU36" s="3">
        <f t="shared" si="23"/>
        <v>94461.355385472212</v>
      </c>
      <c r="AV36" s="3">
        <f t="shared" si="23"/>
        <v>95508.157480438662</v>
      </c>
      <c r="AW36" s="3">
        <f t="shared" si="23"/>
        <v>109767.58740339031</v>
      </c>
      <c r="AX36" s="3">
        <f t="shared" si="23"/>
        <v>118039.57332734349</v>
      </c>
      <c r="AY36" s="3">
        <f t="shared" si="23"/>
        <v>97713.091637847625</v>
      </c>
      <c r="AZ36" s="3">
        <f t="shared" si="23"/>
        <v>111061.27493650933</v>
      </c>
      <c r="BA36" s="3">
        <f t="shared" si="23"/>
        <v>123000.67301069948</v>
      </c>
      <c r="BB36" s="3">
        <f t="shared" si="23"/>
        <v>102744.74810801796</v>
      </c>
      <c r="BC36" s="3">
        <f t="shared" si="23"/>
        <v>100814.50206232211</v>
      </c>
      <c r="BD36" s="3">
        <f t="shared" si="23"/>
        <v>97962.735989863519</v>
      </c>
      <c r="BE36" s="2"/>
      <c r="BF36" s="3">
        <f t="shared" ref="BF36:BQ36" si="24">BF30+BF34</f>
        <v>78214.590511158065</v>
      </c>
      <c r="BG36" s="3">
        <f t="shared" si="24"/>
        <v>84171.586668860386</v>
      </c>
      <c r="BH36" s="3">
        <f t="shared" si="24"/>
        <v>100311.92122121315</v>
      </c>
      <c r="BI36" s="3">
        <f t="shared" si="24"/>
        <v>101440.92263559245</v>
      </c>
      <c r="BJ36" s="3">
        <f t="shared" si="24"/>
        <v>117016.22702987133</v>
      </c>
      <c r="BK36" s="3">
        <f t="shared" si="24"/>
        <v>126034.01548460526</v>
      </c>
      <c r="BL36" s="3">
        <f t="shared" si="24"/>
        <v>103829.70006105943</v>
      </c>
      <c r="BM36" s="3">
        <f t="shared" si="24"/>
        <v>118403.60676174899</v>
      </c>
      <c r="BN36" s="3">
        <f t="shared" si="24"/>
        <v>131458.19309211636</v>
      </c>
      <c r="BO36" s="3">
        <f t="shared" si="24"/>
        <v>109373.36587109853</v>
      </c>
      <c r="BP36" s="3">
        <f t="shared" si="24"/>
        <v>107927.94094885798</v>
      </c>
      <c r="BQ36" s="3">
        <f t="shared" si="24"/>
        <v>105653.88800140774</v>
      </c>
    </row>
    <row r="37" spans="1:69" ht="15.75" customHeight="1">
      <c r="A37" s="2"/>
      <c r="B37" s="2"/>
      <c r="C37" s="2"/>
      <c r="D37" s="2"/>
      <c r="E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2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</row>
    <row r="38" spans="1:69" ht="15.75" customHeight="1">
      <c r="A38" s="2"/>
      <c r="B38" s="16" t="s">
        <v>29</v>
      </c>
      <c r="C38" s="2"/>
      <c r="D38" s="16"/>
      <c r="E38" s="16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2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</row>
    <row r="39" spans="1:69" ht="15.75" customHeight="1">
      <c r="A39" s="2"/>
      <c r="B39" s="2"/>
      <c r="C39" s="17" t="s">
        <v>30</v>
      </c>
      <c r="D39" s="17"/>
      <c r="E39" s="17"/>
      <c r="F39" s="3">
        <f>SOCF!G36</f>
        <v>300000</v>
      </c>
      <c r="G39" s="3">
        <f>SOCF!H36+F39</f>
        <v>300000</v>
      </c>
      <c r="H39" s="3">
        <f>SOCF!I36+G39</f>
        <v>300000</v>
      </c>
      <c r="I39" s="3">
        <f>SOCF!J36+H39</f>
        <v>300000</v>
      </c>
      <c r="J39" s="3">
        <f>SOCF!K36+I39</f>
        <v>300000</v>
      </c>
      <c r="K39" s="3">
        <f>SOCF!L36+J39</f>
        <v>300000</v>
      </c>
      <c r="L39" s="3">
        <f>SOCF!M36+K39</f>
        <v>300000</v>
      </c>
      <c r="M39" s="3">
        <f>SOCF!N36+L39</f>
        <v>300000</v>
      </c>
      <c r="N39" s="3">
        <f>SOCF!O36+M39</f>
        <v>300000</v>
      </c>
      <c r="O39" s="3">
        <f>SOCF!P36+N39</f>
        <v>300000</v>
      </c>
      <c r="P39" s="3">
        <f>SOCF!Q36+O39</f>
        <v>300000</v>
      </c>
      <c r="Q39" s="3">
        <f>SOCF!R36+P39</f>
        <v>300000</v>
      </c>
      <c r="R39" s="3"/>
      <c r="S39" s="3">
        <f>SOCF!T36+Q39</f>
        <v>300000</v>
      </c>
      <c r="T39" s="3">
        <f>SOCF!U36+S39</f>
        <v>300000</v>
      </c>
      <c r="U39" s="3">
        <f>SOCF!V36+T39</f>
        <v>300000</v>
      </c>
      <c r="V39" s="3">
        <f>SOCF!W36+U39</f>
        <v>300000</v>
      </c>
      <c r="W39" s="3">
        <f>SOCF!X36+V39</f>
        <v>300000</v>
      </c>
      <c r="X39" s="3">
        <f>SOCF!Y36+W39</f>
        <v>300000</v>
      </c>
      <c r="Y39" s="3">
        <f>SOCF!Z36+X39</f>
        <v>300000</v>
      </c>
      <c r="Z39" s="3">
        <f>SOCF!AA36+Y39</f>
        <v>300000</v>
      </c>
      <c r="AA39" s="3">
        <f>SOCF!AB36+Z39</f>
        <v>300000</v>
      </c>
      <c r="AB39" s="3">
        <f>SOCF!AC36+AA39</f>
        <v>300000</v>
      </c>
      <c r="AC39" s="3">
        <f>SOCF!AD36+AB39</f>
        <v>300000</v>
      </c>
      <c r="AD39" s="3">
        <f>SOCF!AE36+AC39</f>
        <v>300000</v>
      </c>
      <c r="AE39" s="3"/>
      <c r="AF39" s="3">
        <f>SOCF!AG36+AD39</f>
        <v>300000</v>
      </c>
      <c r="AG39" s="3">
        <f>SOCF!AH36+AF39</f>
        <v>300000</v>
      </c>
      <c r="AH39" s="3">
        <f>SOCF!AI36+AG39</f>
        <v>300000</v>
      </c>
      <c r="AI39" s="3">
        <f>SOCF!AJ36+AH39</f>
        <v>300000</v>
      </c>
      <c r="AJ39" s="3">
        <f>SOCF!AK36+AI39</f>
        <v>300000</v>
      </c>
      <c r="AK39" s="3">
        <f>SOCF!AL36+AJ39</f>
        <v>300000</v>
      </c>
      <c r="AL39" s="3">
        <f>SOCF!AM36+AK39</f>
        <v>300000</v>
      </c>
      <c r="AM39" s="3">
        <f>SOCF!AN36+AL39</f>
        <v>300000</v>
      </c>
      <c r="AN39" s="3">
        <f>SOCF!AO36+AM39</f>
        <v>300000</v>
      </c>
      <c r="AO39" s="3">
        <f>SOCF!AP36+AN39</f>
        <v>300000</v>
      </c>
      <c r="AP39" s="3">
        <f>SOCF!AQ36+AO39</f>
        <v>300000</v>
      </c>
      <c r="AQ39" s="3">
        <f>SOCF!AR36+AP39</f>
        <v>300000</v>
      </c>
      <c r="AS39" s="3">
        <f>SOCF!AT36+AQ39</f>
        <v>300000</v>
      </c>
      <c r="AT39" s="3">
        <f>SOCF!AU36+AS39</f>
        <v>300000</v>
      </c>
      <c r="AU39" s="3">
        <f>SOCF!AV36+AT39</f>
        <v>300000</v>
      </c>
      <c r="AV39" s="3">
        <f>SOCF!AW36+AU39</f>
        <v>300000</v>
      </c>
      <c r="AW39" s="3">
        <f>SOCF!AX36+AV39</f>
        <v>300000</v>
      </c>
      <c r="AX39" s="3">
        <f>SOCF!AY36+AW39</f>
        <v>300000</v>
      </c>
      <c r="AY39" s="3">
        <f>SOCF!AZ36+AX39</f>
        <v>300000</v>
      </c>
      <c r="AZ39" s="3">
        <f>SOCF!BA36+AY39</f>
        <v>300000</v>
      </c>
      <c r="BA39" s="3">
        <f>SOCF!BB36+AZ39</f>
        <v>300000</v>
      </c>
      <c r="BB39" s="3">
        <f>SOCF!BC36+BA39</f>
        <v>300000</v>
      </c>
      <c r="BC39" s="3">
        <f>SOCF!BD36+BB39</f>
        <v>300000</v>
      </c>
      <c r="BD39" s="3">
        <f>SOCF!BE36+BC39</f>
        <v>300000</v>
      </c>
      <c r="BE39" s="2"/>
      <c r="BF39" s="3">
        <f>SOCF!BG36+BD39</f>
        <v>300000</v>
      </c>
      <c r="BG39" s="3">
        <f>SOCF!BH36+BF39</f>
        <v>300000</v>
      </c>
      <c r="BH39" s="3">
        <f>SOCF!BI36+BG39</f>
        <v>300000</v>
      </c>
      <c r="BI39" s="3">
        <f>SOCF!BJ36+BH39</f>
        <v>300000</v>
      </c>
      <c r="BJ39" s="3">
        <f>SOCF!BK36+BI39</f>
        <v>300000</v>
      </c>
      <c r="BK39" s="3">
        <f>SOCF!BL36+BJ39</f>
        <v>300000</v>
      </c>
      <c r="BL39" s="3">
        <f>SOCF!BM36+BK39</f>
        <v>300000</v>
      </c>
      <c r="BM39" s="3">
        <f>SOCF!BN36+BL39</f>
        <v>300000</v>
      </c>
      <c r="BN39" s="3">
        <f>SOCF!BO36+BM39</f>
        <v>300000</v>
      </c>
      <c r="BO39" s="3">
        <f>SOCF!BP36+BN39</f>
        <v>300000</v>
      </c>
      <c r="BP39" s="3">
        <f>SOCF!BQ36+BO39</f>
        <v>300000</v>
      </c>
      <c r="BQ39" s="3">
        <f>SOCF!BR36+BP39</f>
        <v>300000</v>
      </c>
    </row>
    <row r="40" spans="1:69" ht="15.75" customHeight="1">
      <c r="A40" s="2"/>
      <c r="B40" s="2"/>
      <c r="C40" s="2" t="s">
        <v>31</v>
      </c>
      <c r="D40" s="17"/>
      <c r="E40" s="17"/>
      <c r="F40" s="3">
        <f>Assumptions!B14</f>
        <v>0</v>
      </c>
      <c r="G40" s="3">
        <f t="shared" ref="G40:Q40" si="25">F40</f>
        <v>0</v>
      </c>
      <c r="H40" s="3">
        <f t="shared" si="25"/>
        <v>0</v>
      </c>
      <c r="I40" s="3">
        <f t="shared" si="25"/>
        <v>0</v>
      </c>
      <c r="J40" s="3">
        <f t="shared" si="25"/>
        <v>0</v>
      </c>
      <c r="K40" s="3">
        <f t="shared" si="25"/>
        <v>0</v>
      </c>
      <c r="L40" s="3">
        <f t="shared" si="25"/>
        <v>0</v>
      </c>
      <c r="M40" s="3">
        <f t="shared" si="25"/>
        <v>0</v>
      </c>
      <c r="N40" s="3">
        <f t="shared" si="25"/>
        <v>0</v>
      </c>
      <c r="O40" s="3">
        <f t="shared" si="25"/>
        <v>0</v>
      </c>
      <c r="P40" s="3">
        <f t="shared" si="25"/>
        <v>0</v>
      </c>
      <c r="Q40" s="3">
        <f t="shared" si="25"/>
        <v>0</v>
      </c>
      <c r="R40" s="3"/>
      <c r="S40" s="3">
        <f>Q40</f>
        <v>0</v>
      </c>
      <c r="T40" s="3">
        <f t="shared" ref="T40:AD40" si="26">S40</f>
        <v>0</v>
      </c>
      <c r="U40" s="3">
        <f t="shared" si="26"/>
        <v>0</v>
      </c>
      <c r="V40" s="3">
        <f t="shared" si="26"/>
        <v>0</v>
      </c>
      <c r="W40" s="3">
        <f t="shared" si="26"/>
        <v>0</v>
      </c>
      <c r="X40" s="3">
        <f t="shared" si="26"/>
        <v>0</v>
      </c>
      <c r="Y40" s="3">
        <f t="shared" si="26"/>
        <v>0</v>
      </c>
      <c r="Z40" s="3">
        <f t="shared" si="26"/>
        <v>0</v>
      </c>
      <c r="AA40" s="3">
        <f t="shared" si="26"/>
        <v>0</v>
      </c>
      <c r="AB40" s="3">
        <f t="shared" si="26"/>
        <v>0</v>
      </c>
      <c r="AC40" s="3">
        <f t="shared" si="26"/>
        <v>0</v>
      </c>
      <c r="AD40" s="3">
        <f t="shared" si="26"/>
        <v>0</v>
      </c>
      <c r="AE40" s="3"/>
      <c r="AF40" s="3">
        <f>AD40</f>
        <v>0</v>
      </c>
      <c r="AG40" s="3">
        <f t="shared" ref="AG40:AQ40" si="27">AF40</f>
        <v>0</v>
      </c>
      <c r="AH40" s="3">
        <f t="shared" si="27"/>
        <v>0</v>
      </c>
      <c r="AI40" s="3">
        <f t="shared" si="27"/>
        <v>0</v>
      </c>
      <c r="AJ40" s="3">
        <f t="shared" si="27"/>
        <v>0</v>
      </c>
      <c r="AK40" s="3">
        <f t="shared" si="27"/>
        <v>0</v>
      </c>
      <c r="AL40" s="3">
        <f t="shared" si="27"/>
        <v>0</v>
      </c>
      <c r="AM40" s="3">
        <f t="shared" si="27"/>
        <v>0</v>
      </c>
      <c r="AN40" s="3">
        <f t="shared" si="27"/>
        <v>0</v>
      </c>
      <c r="AO40" s="3">
        <f t="shared" si="27"/>
        <v>0</v>
      </c>
      <c r="AP40" s="3">
        <f t="shared" si="27"/>
        <v>0</v>
      </c>
      <c r="AQ40" s="3">
        <f t="shared" si="27"/>
        <v>0</v>
      </c>
      <c r="AS40" s="3">
        <f>AQ40</f>
        <v>0</v>
      </c>
      <c r="AT40" s="3">
        <f t="shared" ref="AT40:BD40" si="28">AS40</f>
        <v>0</v>
      </c>
      <c r="AU40" s="3">
        <f t="shared" si="28"/>
        <v>0</v>
      </c>
      <c r="AV40" s="3">
        <f t="shared" si="28"/>
        <v>0</v>
      </c>
      <c r="AW40" s="3">
        <f t="shared" si="28"/>
        <v>0</v>
      </c>
      <c r="AX40" s="3">
        <f t="shared" si="28"/>
        <v>0</v>
      </c>
      <c r="AY40" s="3">
        <f t="shared" si="28"/>
        <v>0</v>
      </c>
      <c r="AZ40" s="3">
        <f t="shared" si="28"/>
        <v>0</v>
      </c>
      <c r="BA40" s="3">
        <f t="shared" si="28"/>
        <v>0</v>
      </c>
      <c r="BB40" s="3">
        <f t="shared" si="28"/>
        <v>0</v>
      </c>
      <c r="BC40" s="3">
        <f t="shared" si="28"/>
        <v>0</v>
      </c>
      <c r="BD40" s="3">
        <f t="shared" si="28"/>
        <v>0</v>
      </c>
      <c r="BE40" s="2"/>
      <c r="BF40" s="3">
        <f>BD40</f>
        <v>0</v>
      </c>
      <c r="BG40" s="3">
        <f t="shared" ref="BG40:BQ40" si="29">BF40</f>
        <v>0</v>
      </c>
      <c r="BH40" s="3">
        <f t="shared" si="29"/>
        <v>0</v>
      </c>
      <c r="BI40" s="3">
        <f t="shared" si="29"/>
        <v>0</v>
      </c>
      <c r="BJ40" s="3">
        <f t="shared" si="29"/>
        <v>0</v>
      </c>
      <c r="BK40" s="3">
        <f t="shared" si="29"/>
        <v>0</v>
      </c>
      <c r="BL40" s="3">
        <f t="shared" si="29"/>
        <v>0</v>
      </c>
      <c r="BM40" s="3">
        <f t="shared" si="29"/>
        <v>0</v>
      </c>
      <c r="BN40" s="3">
        <f t="shared" si="29"/>
        <v>0</v>
      </c>
      <c r="BO40" s="3">
        <f t="shared" si="29"/>
        <v>0</v>
      </c>
      <c r="BP40" s="3">
        <f t="shared" si="29"/>
        <v>0</v>
      </c>
      <c r="BQ40" s="3">
        <f t="shared" si="29"/>
        <v>0</v>
      </c>
    </row>
    <row r="41" spans="1:69" ht="15.75" customHeight="1">
      <c r="A41" s="2"/>
      <c r="B41" s="2"/>
      <c r="C41" s="2" t="s">
        <v>32</v>
      </c>
      <c r="D41" s="2"/>
      <c r="E41" s="2"/>
      <c r="F41" s="3">
        <f>SOO!F83+SOCF!G37</f>
        <v>-13194.130479847772</v>
      </c>
      <c r="G41" s="3">
        <f>SOO!G83+F41-SOCF!G37+SOCF!H37</f>
        <v>-21179.09463920206</v>
      </c>
      <c r="H41" s="3">
        <f>SOO!H83+G41-SOCF!H37+SOCF!I37</f>
        <v>-20047.227858973711</v>
      </c>
      <c r="I41" s="3">
        <f>SOO!I83+H41-SOCF!I37+SOCF!J37</f>
        <v>-13045.362581284269</v>
      </c>
      <c r="J41" s="3">
        <f>SOO!J83+I41-SOCF!J37+SOCF!K37</f>
        <v>-1337.4985409798137</v>
      </c>
      <c r="K41" s="3">
        <f>SOO!K83+J41-SOCF!K37+SOCF!L37</f>
        <v>5664.3667367096286</v>
      </c>
      <c r="L41" s="3">
        <f>SOO!L83+K41-SOCF!L37+SOCF!M37</f>
        <v>10321.565936963347</v>
      </c>
      <c r="M41" s="3">
        <f>SOO!M83+L41-SOCF!M37+SOCF!N37</f>
        <v>23792.096187280498</v>
      </c>
      <c r="N41" s="3">
        <f>SOO!N83+M41-SOCF!N37+SOCF!O37</f>
        <v>35920.96013920031</v>
      </c>
      <c r="O41" s="3">
        <f>SOO!O83+N41-SOCF!O37+SOCF!P37</f>
        <v>47628.824179504765</v>
      </c>
      <c r="P41" s="3">
        <f>SOO!P83+O41-SOCF!P37+SOCF!Q37</f>
        <v>47794.691224887036</v>
      </c>
      <c r="Q41" s="3">
        <f>SOO!Q83+P41-SOCF!Q37+SOCF!R37</f>
        <v>-29598.774414909974</v>
      </c>
      <c r="R41" s="3"/>
      <c r="S41" s="3">
        <f>SOO!S83+Q41+SOCF!T37</f>
        <v>-39572.795042222962</v>
      </c>
      <c r="T41" s="3">
        <f>SOO!T83+S41+SOCF!U37</f>
        <v>-48059.461661785572</v>
      </c>
      <c r="U41" s="3">
        <f>SOO!U83+T41+SOCF!V37</f>
        <v>-45981.453227755053</v>
      </c>
      <c r="V41" s="3">
        <f>SOO!V83+U41+SOCF!W37</f>
        <v>-37314.46676008455</v>
      </c>
      <c r="W41" s="3">
        <f>SOO!W83+V41+SOCF!X37</f>
        <v>-23184.429264710518</v>
      </c>
      <c r="X41" s="3">
        <f>SOO!X83+W41+SOCF!Y37</f>
        <v>-14517.442797040012</v>
      </c>
      <c r="Y41" s="3">
        <f>SOO!Y83+X41+SOCF!Z37</f>
        <v>-8422.09134256166</v>
      </c>
      <c r="Z41" s="3">
        <f>SOO!Z83+Y41+SOCF!AA37</f>
        <v>7716.617663036277</v>
      </c>
      <c r="AA41" s="3">
        <f>SOO!AA83+Z41+SOCF!AB37</f>
        <v>22212.476660389126</v>
      </c>
      <c r="AB41" s="3">
        <f>SOO!AB83+AA41+SOCF!AC37</f>
        <v>36342.514155763158</v>
      </c>
      <c r="AC41" s="3">
        <f>SOO!AC83+AB41+SOCF!AD37</f>
        <v>37237.670583857209</v>
      </c>
      <c r="AD41" s="3">
        <f>SOO!AD83+AC41+SOCF!AE37</f>
        <v>-64701.664002560108</v>
      </c>
      <c r="AE41" s="3"/>
      <c r="AF41" s="3">
        <f>SOO!AF83+AD41+SOCF!AG37</f>
        <v>-75253.026734415544</v>
      </c>
      <c r="AG41" s="3">
        <f>SOO!AG83+AF41+SOCF!AH37</f>
        <v>-84098.290278599219</v>
      </c>
      <c r="AH41" s="3">
        <f>SOO!AH83+AG41+SOCF!AI37</f>
        <v>-80838.301088882348</v>
      </c>
      <c r="AI41" s="3">
        <f>SOO!AI83+AH41+SOCF!AJ37</f>
        <v>-70026.563829271006</v>
      </c>
      <c r="AJ41" s="3">
        <f>SOO!AJ83+AI41+SOCF!AK37</f>
        <v>-52955.222717981873</v>
      </c>
      <c r="AK41" s="3">
        <f>SOO!AK83+AJ41+SOCF!AL37</f>
        <v>-42143.485458370538</v>
      </c>
      <c r="AL41" s="3">
        <f>SOO!AL83+AK41+SOCF!AM37</f>
        <v>-34279.712294796256</v>
      </c>
      <c r="AM41" s="3">
        <f>SOO!AM83+AL41+SOCF!AN37</f>
        <v>-14906.47919657841</v>
      </c>
      <c r="AN41" s="3">
        <f>SOO!AN83+AM41+SOCF!AO37</f>
        <v>2585.1404041162641</v>
      </c>
      <c r="AO41" s="3">
        <f>SOO!AO83+AN41+SOCF!AP37</f>
        <v>19656.481515405394</v>
      </c>
      <c r="AP41" s="3">
        <f>SOO!AP83+AO41+SOCF!AQ37</f>
        <v>21561.70898690556</v>
      </c>
      <c r="AQ41" s="3">
        <f>SOO!AQ83+AP41+SOCF!AR37</f>
        <v>-79782.08579723502</v>
      </c>
      <c r="AS41" s="3">
        <f>SOO!AS83+AQ41+SOCF!AT37</f>
        <v>-90787.473022929989</v>
      </c>
      <c r="AT41" s="3">
        <f>SOO!AT83+AS41+SOCF!AU37</f>
        <v>-100003.6639710741</v>
      </c>
      <c r="AU41" s="3">
        <f>SOO!AU83+AT41+SOCF!AV37</f>
        <v>-96524.606731366555</v>
      </c>
      <c r="AV41" s="3">
        <f>SOO!AV83+AU41+SOCF!AW37</f>
        <v>-85125.797111438267</v>
      </c>
      <c r="AW41" s="3">
        <f>SOO!AW83+AV41+SOCF!AX37</f>
        <v>-67162.295406328194</v>
      </c>
      <c r="AX41" s="3">
        <f>SOO!AX83+AW41+SOCF!AY37</f>
        <v>-55763.485786399906</v>
      </c>
      <c r="AY41" s="3">
        <f>SOO!AY83+AX41+SOCF!AZ37</f>
        <v>-47456.280391558175</v>
      </c>
      <c r="AZ41" s="3">
        <f>SOO!AZ83+AY41+SOCF!BA37</f>
        <v>-27078.704608881006</v>
      </c>
      <c r="BA41" s="3">
        <f>SOO!BA83+AZ41+SOCF!BB37</f>
        <v>-8674.4742012579482</v>
      </c>
      <c r="BB41" s="3">
        <f>SOO!BB83+BA41+SOCF!BC37</f>
        <v>9289.0275038521213</v>
      </c>
      <c r="BC41" s="3">
        <f>SOO!BC83+BB41+SOCF!BD37</f>
        <v>11347.276073520727</v>
      </c>
      <c r="BD41" s="3">
        <f>SOO!BD83+BC41+SOCF!BE37</f>
        <v>-90001.8148419059</v>
      </c>
      <c r="BE41" s="2"/>
      <c r="BF41" s="3">
        <f>SOO!BF83+BD41+SOCF!BG37</f>
        <v>-101255.63895461826</v>
      </c>
      <c r="BG41" s="3">
        <f>SOO!BG83+BF41+SOCF!BH37</f>
        <v>-110550.53467225577</v>
      </c>
      <c r="BH41" s="3">
        <f>SOO!BH83+BG41+SOCF!BI37</f>
        <v>-105960.34535254056</v>
      </c>
      <c r="BI41" s="3">
        <f>SOO!BI83+BH41+SOCF!BJ37</f>
        <v>-92706.000077340868</v>
      </c>
      <c r="BJ41" s="3">
        <f>SOO!BJ83+BI41+SOCF!BK37</f>
        <v>-72271.797325198102</v>
      </c>
      <c r="BK41" s="3">
        <f>SOO!BK83+BJ41+SOCF!BL37</f>
        <v>-59017.452049998406</v>
      </c>
      <c r="BL41" s="3">
        <f>SOO!BL83+BK41+SOCF!BM37</f>
        <v>-49145.924919474026</v>
      </c>
      <c r="BM41" s="3">
        <f>SOO!BM83+BL41+SOCF!BN37</f>
        <v>-26071.053261926681</v>
      </c>
      <c r="BN41" s="3">
        <f>SOO!BN83+BM41+SOCF!BO37</f>
        <v>-5153.5903158951332</v>
      </c>
      <c r="BO41" s="3">
        <f>SOO!BO83+BN41+SOCF!BP37</f>
        <v>15280.612436247633</v>
      </c>
      <c r="BP41" s="3">
        <f>SOO!BP83+BO41+SOCF!BQ37</f>
        <v>18317.467483671469</v>
      </c>
      <c r="BQ41" s="3">
        <f>SOO!BQ83+BP41+SOCF!BR37</f>
        <v>-107373.68100742251</v>
      </c>
    </row>
    <row r="42" spans="1:69" ht="15.75" customHeight="1">
      <c r="A42" s="2"/>
      <c r="B42" s="2"/>
      <c r="C42" s="2"/>
      <c r="D42" s="16"/>
      <c r="E42" s="16" t="str">
        <f>CONCATENATE("Total ",B38)</f>
        <v>Total Shareholders's equity</v>
      </c>
      <c r="F42" s="18">
        <f>SUM(F39:F41)</f>
        <v>286805.86952015222</v>
      </c>
      <c r="G42" s="18">
        <f t="shared" ref="G42:P42" si="30">SUM(G39:G41)</f>
        <v>278820.90536079794</v>
      </c>
      <c r="H42" s="18">
        <f t="shared" si="30"/>
        <v>279952.77214102627</v>
      </c>
      <c r="I42" s="18">
        <f t="shared" si="30"/>
        <v>286954.63741871575</v>
      </c>
      <c r="J42" s="18">
        <f t="shared" si="30"/>
        <v>298662.50145902019</v>
      </c>
      <c r="K42" s="18">
        <f t="shared" si="30"/>
        <v>305664.36673670961</v>
      </c>
      <c r="L42" s="18">
        <f t="shared" si="30"/>
        <v>310321.56593696336</v>
      </c>
      <c r="M42" s="18">
        <f t="shared" si="30"/>
        <v>323792.09618728049</v>
      </c>
      <c r="N42" s="18">
        <f t="shared" si="30"/>
        <v>335920.96013920032</v>
      </c>
      <c r="O42" s="18">
        <f t="shared" si="30"/>
        <v>347628.82417950477</v>
      </c>
      <c r="P42" s="18">
        <f t="shared" si="30"/>
        <v>347794.69122488704</v>
      </c>
      <c r="Q42" s="18">
        <f>SUM(Q39:Q41)</f>
        <v>270401.22558509</v>
      </c>
      <c r="R42" s="3"/>
      <c r="S42" s="18">
        <f t="shared" ref="S42:AD42" si="31">SUM(S39:S41)</f>
        <v>260427.20495777705</v>
      </c>
      <c r="T42" s="18">
        <f t="shared" si="31"/>
        <v>251940.53833821442</v>
      </c>
      <c r="U42" s="18">
        <f t="shared" si="31"/>
        <v>254018.54677224494</v>
      </c>
      <c r="V42" s="18">
        <f t="shared" si="31"/>
        <v>262685.53323991544</v>
      </c>
      <c r="W42" s="18">
        <f t="shared" si="31"/>
        <v>276815.57073528948</v>
      </c>
      <c r="X42" s="18">
        <f t="shared" si="31"/>
        <v>285482.55720296002</v>
      </c>
      <c r="Y42" s="18">
        <f t="shared" si="31"/>
        <v>291577.90865743835</v>
      </c>
      <c r="Z42" s="18">
        <f t="shared" si="31"/>
        <v>307716.61766303628</v>
      </c>
      <c r="AA42" s="18">
        <f t="shared" si="31"/>
        <v>322212.4766603891</v>
      </c>
      <c r="AB42" s="18">
        <f t="shared" si="31"/>
        <v>336342.51415576314</v>
      </c>
      <c r="AC42" s="18">
        <f t="shared" si="31"/>
        <v>337237.67058385722</v>
      </c>
      <c r="AD42" s="18">
        <f t="shared" si="31"/>
        <v>235298.33599743989</v>
      </c>
      <c r="AE42" s="3"/>
      <c r="AF42" s="18">
        <f t="shared" ref="AF42:AQ42" si="32">SUM(AF39:AF41)</f>
        <v>224746.97326558444</v>
      </c>
      <c r="AG42" s="18">
        <f t="shared" si="32"/>
        <v>215901.70972140078</v>
      </c>
      <c r="AH42" s="18">
        <f t="shared" si="32"/>
        <v>219161.69891111765</v>
      </c>
      <c r="AI42" s="18">
        <f t="shared" si="32"/>
        <v>229973.43617072899</v>
      </c>
      <c r="AJ42" s="18">
        <f t="shared" si="32"/>
        <v>247044.77728201813</v>
      </c>
      <c r="AK42" s="18">
        <f t="shared" si="32"/>
        <v>257856.51454162947</v>
      </c>
      <c r="AL42" s="18">
        <f t="shared" si="32"/>
        <v>265720.28770520375</v>
      </c>
      <c r="AM42" s="18">
        <f t="shared" si="32"/>
        <v>285093.52080342162</v>
      </c>
      <c r="AN42" s="18">
        <f t="shared" si="32"/>
        <v>302585.14040411625</v>
      </c>
      <c r="AO42" s="18">
        <f t="shared" si="32"/>
        <v>319656.48151540541</v>
      </c>
      <c r="AP42" s="18">
        <f t="shared" si="32"/>
        <v>321561.70898690558</v>
      </c>
      <c r="AQ42" s="18">
        <f t="shared" si="32"/>
        <v>220217.91420276498</v>
      </c>
      <c r="AS42" s="18">
        <f t="shared" ref="AS42:BD42" si="33">SUM(AS39:AS41)</f>
        <v>209212.52697707003</v>
      </c>
      <c r="AT42" s="18">
        <f t="shared" si="33"/>
        <v>199996.3360289259</v>
      </c>
      <c r="AU42" s="18">
        <f t="shared" si="33"/>
        <v>203475.39326863346</v>
      </c>
      <c r="AV42" s="18">
        <f t="shared" si="33"/>
        <v>214874.20288856173</v>
      </c>
      <c r="AW42" s="18">
        <f t="shared" si="33"/>
        <v>232837.70459367181</v>
      </c>
      <c r="AX42" s="18">
        <f t="shared" si="33"/>
        <v>244236.51421360008</v>
      </c>
      <c r="AY42" s="18">
        <f t="shared" si="33"/>
        <v>252543.71960844181</v>
      </c>
      <c r="AZ42" s="18">
        <f t="shared" si="33"/>
        <v>272921.29539111897</v>
      </c>
      <c r="BA42" s="18">
        <f t="shared" si="33"/>
        <v>291325.52579874208</v>
      </c>
      <c r="BB42" s="18">
        <f t="shared" si="33"/>
        <v>309289.02750385215</v>
      </c>
      <c r="BC42" s="18">
        <f t="shared" si="33"/>
        <v>311347.27607352071</v>
      </c>
      <c r="BD42" s="18">
        <f t="shared" si="33"/>
        <v>209998.1851580941</v>
      </c>
      <c r="BE42" s="2"/>
      <c r="BF42" s="18">
        <f t="shared" ref="BF42:BQ42" si="34">SUM(BF39:BF41)</f>
        <v>198744.36104538175</v>
      </c>
      <c r="BG42" s="18">
        <f t="shared" si="34"/>
        <v>189449.46532774423</v>
      </c>
      <c r="BH42" s="18">
        <f t="shared" si="34"/>
        <v>194039.65464745945</v>
      </c>
      <c r="BI42" s="18">
        <f t="shared" si="34"/>
        <v>207293.99992265913</v>
      </c>
      <c r="BJ42" s="18">
        <f t="shared" si="34"/>
        <v>227728.2026748019</v>
      </c>
      <c r="BK42" s="18">
        <f t="shared" si="34"/>
        <v>240982.54795000161</v>
      </c>
      <c r="BL42" s="18">
        <f t="shared" si="34"/>
        <v>250854.07508052597</v>
      </c>
      <c r="BM42" s="18">
        <f t="shared" si="34"/>
        <v>273928.94673807331</v>
      </c>
      <c r="BN42" s="18">
        <f t="shared" si="34"/>
        <v>294846.40968410484</v>
      </c>
      <c r="BO42" s="18">
        <f t="shared" si="34"/>
        <v>315280.61243624764</v>
      </c>
      <c r="BP42" s="18">
        <f t="shared" si="34"/>
        <v>318317.4674836715</v>
      </c>
      <c r="BQ42" s="18">
        <f t="shared" si="34"/>
        <v>192626.31899257749</v>
      </c>
    </row>
    <row r="43" spans="1:69" ht="15.75" customHeight="1">
      <c r="A43" s="2"/>
      <c r="B43" s="2"/>
      <c r="C43" s="2"/>
      <c r="D43" s="2"/>
      <c r="E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2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</row>
    <row r="44" spans="1:69" ht="15.75" customHeight="1">
      <c r="A44" s="1" t="s">
        <v>33</v>
      </c>
      <c r="B44" s="1"/>
      <c r="C44" s="1"/>
      <c r="D44" s="1"/>
      <c r="E44" s="1"/>
      <c r="F44" s="19">
        <f t="shared" ref="F44:Q44" si="35">F36+F42</f>
        <v>331589.61632991536</v>
      </c>
      <c r="G44" s="19">
        <f t="shared" si="35"/>
        <v>357184.20425743982</v>
      </c>
      <c r="H44" s="19">
        <f t="shared" si="35"/>
        <v>356188.55064994562</v>
      </c>
      <c r="I44" s="19">
        <f t="shared" si="35"/>
        <v>363911.28307967767</v>
      </c>
      <c r="J44" s="19">
        <f t="shared" si="35"/>
        <v>386003.54050515266</v>
      </c>
      <c r="K44" s="19">
        <f t="shared" si="35"/>
        <v>399033.08377878845</v>
      </c>
      <c r="L44" s="19">
        <f t="shared" si="35"/>
        <v>388852.92169479729</v>
      </c>
      <c r="M44" s="19">
        <f t="shared" si="35"/>
        <v>412038.04283919348</v>
      </c>
      <c r="N44" s="19">
        <f t="shared" si="35"/>
        <v>432891.00917168916</v>
      </c>
      <c r="O44" s="19">
        <f t="shared" si="35"/>
        <v>429861.5532263132</v>
      </c>
      <c r="P44" s="19">
        <f t="shared" si="35"/>
        <v>428836.9071546644</v>
      </c>
      <c r="Q44" s="19">
        <f t="shared" si="35"/>
        <v>349632.52721606818</v>
      </c>
      <c r="R44" s="3"/>
      <c r="S44" s="19">
        <f t="shared" ref="S44:AD44" si="36">S36+S42</f>
        <v>326147.80912770482</v>
      </c>
      <c r="T44" s="19">
        <f t="shared" si="36"/>
        <v>322921.41964882804</v>
      </c>
      <c r="U44" s="19">
        <f t="shared" si="36"/>
        <v>337339.86443545</v>
      </c>
      <c r="V44" s="19">
        <f t="shared" si="36"/>
        <v>346889.49894796364</v>
      </c>
      <c r="W44" s="19">
        <f t="shared" si="36"/>
        <v>372900.07201166032</v>
      </c>
      <c r="X44" s="19">
        <f t="shared" si="36"/>
        <v>388453.75948331377</v>
      </c>
      <c r="Y44" s="19">
        <f t="shared" si="36"/>
        <v>377620.13931550499</v>
      </c>
      <c r="Z44" s="19">
        <f t="shared" si="36"/>
        <v>404876.23440533504</v>
      </c>
      <c r="AA44" s="19">
        <f t="shared" si="36"/>
        <v>429319.91180720925</v>
      </c>
      <c r="AB44" s="19">
        <f t="shared" si="36"/>
        <v>426584.85856785136</v>
      </c>
      <c r="AC44" s="19">
        <f t="shared" si="36"/>
        <v>425959.01494524238</v>
      </c>
      <c r="AD44" s="19">
        <f t="shared" si="36"/>
        <v>321793.01513137255</v>
      </c>
      <c r="AE44" s="3"/>
      <c r="AF44" s="19">
        <f t="shared" ref="AF44:AQ44" si="37">AF36+AF42</f>
        <v>295664.60508590291</v>
      </c>
      <c r="AG44" s="19">
        <f t="shared" si="37"/>
        <v>292684.37667118094</v>
      </c>
      <c r="AH44" s="19">
        <f t="shared" si="37"/>
        <v>310030.74119196029</v>
      </c>
      <c r="AI44" s="19">
        <f t="shared" si="37"/>
        <v>321839.43282773014</v>
      </c>
      <c r="AJ44" s="19">
        <f t="shared" si="37"/>
        <v>352505.18639351276</v>
      </c>
      <c r="AK44" s="19">
        <f t="shared" si="37"/>
        <v>371182.01882846624</v>
      </c>
      <c r="AL44" s="19">
        <f t="shared" si="37"/>
        <v>359672.5574332684</v>
      </c>
      <c r="AM44" s="19">
        <f t="shared" si="37"/>
        <v>391761.84680503706</v>
      </c>
      <c r="AN44" s="19">
        <f t="shared" si="37"/>
        <v>420648.03647943016</v>
      </c>
      <c r="AO44" s="19">
        <f t="shared" si="37"/>
        <v>418456.02654867311</v>
      </c>
      <c r="AP44" s="19">
        <f t="shared" si="37"/>
        <v>418538.9136249352</v>
      </c>
      <c r="AQ44" s="19">
        <f t="shared" si="37"/>
        <v>314434.5728609059</v>
      </c>
      <c r="AS44" s="19">
        <f t="shared" ref="AS44:BD44" si="38">AS36+AS42</f>
        <v>283914.63378735073</v>
      </c>
      <c r="AT44" s="19">
        <f t="shared" si="38"/>
        <v>279644.94258538279</v>
      </c>
      <c r="AU44" s="19">
        <f t="shared" si="38"/>
        <v>297936.7486541057</v>
      </c>
      <c r="AV44" s="19">
        <f t="shared" si="38"/>
        <v>310382.36036900041</v>
      </c>
      <c r="AW44" s="19">
        <f t="shared" si="38"/>
        <v>342605.2919970621</v>
      </c>
      <c r="AX44" s="19">
        <f t="shared" si="38"/>
        <v>362276.08754094358</v>
      </c>
      <c r="AY44" s="19">
        <f t="shared" si="38"/>
        <v>350256.81124628941</v>
      </c>
      <c r="AZ44" s="19">
        <f t="shared" si="38"/>
        <v>383982.57032762829</v>
      </c>
      <c r="BA44" s="19">
        <f t="shared" si="38"/>
        <v>414326.19880944153</v>
      </c>
      <c r="BB44" s="19">
        <f t="shared" si="38"/>
        <v>412033.77561187011</v>
      </c>
      <c r="BC44" s="19">
        <f t="shared" si="38"/>
        <v>412161.77813584282</v>
      </c>
      <c r="BD44" s="19">
        <f t="shared" si="38"/>
        <v>307960.92114795762</v>
      </c>
      <c r="BE44" s="2"/>
      <c r="BF44" s="19">
        <f t="shared" ref="BF44:BQ44" si="39">BF36+BF42</f>
        <v>276958.9515565398</v>
      </c>
      <c r="BG44" s="19">
        <f t="shared" si="39"/>
        <v>273621.0519966046</v>
      </c>
      <c r="BH44" s="19">
        <f t="shared" si="39"/>
        <v>294351.57586867257</v>
      </c>
      <c r="BI44" s="19">
        <f t="shared" si="39"/>
        <v>308734.92255825159</v>
      </c>
      <c r="BJ44" s="19">
        <f t="shared" si="39"/>
        <v>344744.42970467324</v>
      </c>
      <c r="BK44" s="19">
        <f t="shared" si="39"/>
        <v>367016.56343460688</v>
      </c>
      <c r="BL44" s="19">
        <f t="shared" si="39"/>
        <v>354683.77514158539</v>
      </c>
      <c r="BM44" s="19">
        <f t="shared" si="39"/>
        <v>392332.55349982227</v>
      </c>
      <c r="BN44" s="19">
        <f t="shared" si="39"/>
        <v>426304.60277622123</v>
      </c>
      <c r="BO44" s="19">
        <f t="shared" si="39"/>
        <v>424653.97830734617</v>
      </c>
      <c r="BP44" s="19">
        <f t="shared" si="39"/>
        <v>426245.40843252948</v>
      </c>
      <c r="BQ44" s="19">
        <f t="shared" si="39"/>
        <v>298280.20699398522</v>
      </c>
    </row>
    <row r="45" spans="1:69" ht="15.75" customHeight="1">
      <c r="A45" s="2"/>
      <c r="B45" s="2"/>
      <c r="C45" s="2"/>
      <c r="D45" s="2"/>
      <c r="E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2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</row>
    <row r="46" spans="1:69" ht="15.75" customHeight="1">
      <c r="A46" s="2" t="s">
        <v>95</v>
      </c>
      <c r="B46" s="2"/>
      <c r="C46" s="2"/>
      <c r="D46" s="2"/>
      <c r="E46" s="2"/>
      <c r="F46" s="3">
        <f t="shared" ref="F46:Q46" si="40">F21-F44</f>
        <v>0</v>
      </c>
      <c r="G46" s="3">
        <f t="shared" si="40"/>
        <v>0</v>
      </c>
      <c r="H46" s="3">
        <f t="shared" si="40"/>
        <v>0</v>
      </c>
      <c r="I46" s="3">
        <f t="shared" si="40"/>
        <v>0</v>
      </c>
      <c r="J46" s="3">
        <f t="shared" si="40"/>
        <v>0</v>
      </c>
      <c r="K46" s="3">
        <f t="shared" si="40"/>
        <v>0</v>
      </c>
      <c r="L46" s="3">
        <f t="shared" si="40"/>
        <v>0</v>
      </c>
      <c r="M46" s="3">
        <f t="shared" si="40"/>
        <v>0</v>
      </c>
      <c r="N46" s="3">
        <f t="shared" si="40"/>
        <v>0</v>
      </c>
      <c r="O46" s="3">
        <f t="shared" si="40"/>
        <v>0</v>
      </c>
      <c r="P46" s="3">
        <f t="shared" si="40"/>
        <v>0</v>
      </c>
      <c r="Q46" s="3">
        <f t="shared" si="40"/>
        <v>0</v>
      </c>
      <c r="R46" s="3"/>
      <c r="S46" s="3">
        <f t="shared" ref="S46:AD46" si="41">S21-S44</f>
        <v>0</v>
      </c>
      <c r="T46" s="3">
        <f t="shared" si="41"/>
        <v>0</v>
      </c>
      <c r="U46" s="3">
        <f t="shared" si="41"/>
        <v>0</v>
      </c>
      <c r="V46" s="3">
        <f t="shared" si="41"/>
        <v>0</v>
      </c>
      <c r="W46" s="3">
        <f t="shared" si="41"/>
        <v>0</v>
      </c>
      <c r="X46" s="3">
        <f t="shared" si="41"/>
        <v>0</v>
      </c>
      <c r="Y46" s="3">
        <f t="shared" si="41"/>
        <v>0</v>
      </c>
      <c r="Z46" s="3">
        <f t="shared" si="41"/>
        <v>0</v>
      </c>
      <c r="AA46" s="3">
        <f t="shared" si="41"/>
        <v>0</v>
      </c>
      <c r="AB46" s="3">
        <f t="shared" si="41"/>
        <v>0</v>
      </c>
      <c r="AC46" s="3">
        <f t="shared" si="41"/>
        <v>0</v>
      </c>
      <c r="AD46" s="3">
        <f t="shared" si="41"/>
        <v>0</v>
      </c>
      <c r="AE46" s="3"/>
      <c r="AF46" s="3">
        <f t="shared" ref="AF46:AQ46" si="42">AF21-AF44</f>
        <v>0</v>
      </c>
      <c r="AG46" s="3">
        <f t="shared" si="42"/>
        <v>0</v>
      </c>
      <c r="AH46" s="3">
        <f t="shared" si="42"/>
        <v>0</v>
      </c>
      <c r="AI46" s="3">
        <f t="shared" si="42"/>
        <v>0</v>
      </c>
      <c r="AJ46" s="3">
        <f t="shared" si="42"/>
        <v>0</v>
      </c>
      <c r="AK46" s="3">
        <f t="shared" si="42"/>
        <v>0</v>
      </c>
      <c r="AL46" s="3">
        <f t="shared" si="42"/>
        <v>0</v>
      </c>
      <c r="AM46" s="3">
        <f t="shared" si="42"/>
        <v>0</v>
      </c>
      <c r="AN46" s="3">
        <f t="shared" si="42"/>
        <v>0</v>
      </c>
      <c r="AO46" s="3">
        <f t="shared" si="42"/>
        <v>0</v>
      </c>
      <c r="AP46" s="3">
        <f t="shared" si="42"/>
        <v>0</v>
      </c>
      <c r="AQ46" s="3">
        <f t="shared" si="42"/>
        <v>0</v>
      </c>
      <c r="AS46" s="3">
        <f t="shared" ref="AS46:BD46" si="43">AS21-AS44</f>
        <v>0</v>
      </c>
      <c r="AT46" s="3">
        <f t="shared" si="43"/>
        <v>0</v>
      </c>
      <c r="AU46" s="3">
        <f t="shared" si="43"/>
        <v>0</v>
      </c>
      <c r="AV46" s="3">
        <f t="shared" si="43"/>
        <v>0</v>
      </c>
      <c r="AW46" s="3">
        <f t="shared" si="43"/>
        <v>0</v>
      </c>
      <c r="AX46" s="3">
        <f t="shared" si="43"/>
        <v>0</v>
      </c>
      <c r="AY46" s="3">
        <f t="shared" si="43"/>
        <v>0</v>
      </c>
      <c r="AZ46" s="3">
        <f t="shared" si="43"/>
        <v>0</v>
      </c>
      <c r="BA46" s="3">
        <f t="shared" si="43"/>
        <v>0</v>
      </c>
      <c r="BB46" s="3">
        <f t="shared" si="43"/>
        <v>0</v>
      </c>
      <c r="BC46" s="3">
        <f t="shared" si="43"/>
        <v>0</v>
      </c>
      <c r="BD46" s="3">
        <f t="shared" si="43"/>
        <v>0</v>
      </c>
      <c r="BE46" s="2"/>
      <c r="BF46" s="3">
        <f t="shared" ref="BF46:BQ46" si="44">BF21-BF44</f>
        <v>0</v>
      </c>
      <c r="BG46" s="3">
        <f t="shared" si="44"/>
        <v>0</v>
      </c>
      <c r="BH46" s="3">
        <f t="shared" si="44"/>
        <v>0</v>
      </c>
      <c r="BI46" s="3">
        <f t="shared" si="44"/>
        <v>0</v>
      </c>
      <c r="BJ46" s="3">
        <f t="shared" si="44"/>
        <v>0</v>
      </c>
      <c r="BK46" s="3">
        <f t="shared" si="44"/>
        <v>0</v>
      </c>
      <c r="BL46" s="3">
        <f t="shared" si="44"/>
        <v>0</v>
      </c>
      <c r="BM46" s="3">
        <f t="shared" si="44"/>
        <v>0</v>
      </c>
      <c r="BN46" s="3">
        <f t="shared" si="44"/>
        <v>0</v>
      </c>
      <c r="BO46" s="3">
        <f t="shared" si="44"/>
        <v>0</v>
      </c>
      <c r="BP46" s="3">
        <f t="shared" si="44"/>
        <v>0</v>
      </c>
      <c r="BQ46" s="3">
        <f t="shared" si="44"/>
        <v>0</v>
      </c>
    </row>
    <row r="47" spans="1:69" ht="15.75" customHeight="1">
      <c r="A47" s="2" t="s">
        <v>115</v>
      </c>
      <c r="B47" s="2"/>
      <c r="C47" s="2"/>
      <c r="D47" s="2"/>
      <c r="E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2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</row>
    <row r="48" spans="1:69" ht="15.75" customHeight="1">
      <c r="A48" s="2"/>
      <c r="B48" s="2"/>
      <c r="C48" s="2"/>
      <c r="D48" s="2"/>
      <c r="E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2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</row>
    <row r="49" spans="1:69" ht="15.75" customHeight="1">
      <c r="A49" s="2"/>
      <c r="B49" s="2"/>
      <c r="C49" s="2"/>
      <c r="D49" s="2"/>
      <c r="E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2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</row>
    <row r="50" spans="1:69" ht="15.75" customHeight="1">
      <c r="A50" s="2"/>
      <c r="B50" s="2"/>
      <c r="C50" s="2"/>
      <c r="D50" s="2"/>
      <c r="E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</row>
    <row r="51" spans="1:69" ht="15.75" customHeight="1">
      <c r="A51" s="2"/>
      <c r="B51" s="2"/>
      <c r="C51" s="2"/>
      <c r="D51" s="2"/>
      <c r="E51" s="40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2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</row>
    <row r="52" spans="1:69" ht="15.75" customHeight="1">
      <c r="A52" s="2"/>
      <c r="B52" s="2"/>
      <c r="C52" s="2"/>
      <c r="D52" s="2"/>
      <c r="E52" s="40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2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</row>
    <row r="53" spans="1:69" ht="15.75" customHeight="1">
      <c r="A53" s="2"/>
      <c r="B53" s="2"/>
      <c r="C53" s="2"/>
      <c r="D53" s="2"/>
      <c r="E53" s="40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2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</row>
    <row r="54" spans="1:69" ht="15.75" customHeight="1">
      <c r="A54" s="2"/>
      <c r="B54" s="2"/>
      <c r="C54" s="2"/>
      <c r="D54" s="2"/>
      <c r="E54" s="40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2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</row>
    <row r="55" spans="1:69" ht="15.75" customHeight="1">
      <c r="A55" s="2"/>
      <c r="B55" s="2"/>
      <c r="C55" s="2"/>
      <c r="D55" s="2"/>
      <c r="E55" s="40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2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</row>
    <row r="56" spans="1:69" ht="15.75" customHeight="1">
      <c r="A56" s="2"/>
      <c r="B56" s="2"/>
      <c r="C56" s="2"/>
      <c r="D56" s="2"/>
      <c r="E56" s="40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2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</row>
    <row r="57" spans="1:69" ht="15.75" customHeight="1">
      <c r="A57" s="2"/>
      <c r="B57" s="2"/>
      <c r="C57" s="2"/>
      <c r="D57" s="2"/>
      <c r="E57" s="40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2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</row>
    <row r="58" spans="1:69" ht="15.75" customHeight="1">
      <c r="A58" s="2"/>
      <c r="B58" s="2"/>
      <c r="C58" s="2"/>
      <c r="D58" s="2"/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2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</row>
    <row r="59" spans="1:69" ht="15.75" customHeight="1"/>
    <row r="60" spans="1:69" ht="15.75" customHeight="1"/>
    <row r="61" spans="1:69" ht="15.75" customHeight="1"/>
    <row r="62" spans="1:69" ht="15.75" customHeight="1"/>
    <row r="63" spans="1:69" ht="15.75" customHeight="1"/>
    <row r="64" spans="1:6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T1003"/>
  <sheetViews>
    <sheetView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G20" sqref="G20"/>
    </sheetView>
  </sheetViews>
  <sheetFormatPr defaultColWidth="14.453125" defaultRowHeight="15" customHeight="1"/>
  <cols>
    <col min="1" max="1" width="10.7265625" customWidth="1"/>
    <col min="2" max="5" width="3.7265625" customWidth="1"/>
    <col min="6" max="6" width="36.26953125" customWidth="1"/>
    <col min="7" max="14" width="11.26953125" bestFit="1" customWidth="1"/>
    <col min="15" max="18" width="12.26953125" bestFit="1" customWidth="1"/>
    <col min="19" max="44" width="10.7265625" customWidth="1"/>
    <col min="45" max="45" width="8.7265625" customWidth="1"/>
    <col min="46" max="57" width="10.7265625" customWidth="1"/>
    <col min="58" max="58" width="9.1796875" customWidth="1"/>
    <col min="59" max="69" width="10.7265625" customWidth="1"/>
    <col min="70" max="70" width="11.26953125" customWidth="1"/>
    <col min="71" max="71" width="9.1796875" customWidth="1"/>
    <col min="72" max="72" width="11.26953125" customWidth="1"/>
  </cols>
  <sheetData>
    <row r="1" spans="1:72" ht="14.5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ht="14.5">
      <c r="A2" s="1" t="s">
        <v>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1:72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2"/>
    </row>
    <row r="4" spans="1:72" ht="14.5">
      <c r="A4" s="2"/>
      <c r="B4" s="11"/>
      <c r="C4" s="11"/>
      <c r="D4" s="11"/>
      <c r="E4" s="11"/>
      <c r="F4" s="11"/>
      <c r="G4" s="31"/>
      <c r="H4" s="32"/>
      <c r="I4" s="32"/>
      <c r="J4" s="32"/>
      <c r="K4" s="32"/>
      <c r="L4" s="32"/>
      <c r="M4" s="33" t="s">
        <v>98</v>
      </c>
      <c r="N4" s="32"/>
      <c r="O4" s="32"/>
      <c r="P4" s="32"/>
      <c r="Q4" s="32"/>
      <c r="R4" s="34"/>
      <c r="S4" s="2"/>
      <c r="T4" s="31"/>
      <c r="U4" s="32"/>
      <c r="V4" s="32"/>
      <c r="W4" s="32"/>
      <c r="X4" s="32"/>
      <c r="Y4" s="32"/>
      <c r="Z4" s="33" t="s">
        <v>99</v>
      </c>
      <c r="AA4" s="32"/>
      <c r="AB4" s="32"/>
      <c r="AC4" s="32"/>
      <c r="AD4" s="32"/>
      <c r="AE4" s="34"/>
      <c r="AF4" s="2"/>
      <c r="AG4" s="31"/>
      <c r="AH4" s="32"/>
      <c r="AI4" s="32"/>
      <c r="AJ4" s="32"/>
      <c r="AK4" s="32"/>
      <c r="AL4" s="32"/>
      <c r="AM4" s="33" t="s">
        <v>100</v>
      </c>
      <c r="AN4" s="32"/>
      <c r="AO4" s="32"/>
      <c r="AP4" s="32"/>
      <c r="AQ4" s="32"/>
      <c r="AR4" s="34"/>
      <c r="AT4" s="31"/>
      <c r="AU4" s="32"/>
      <c r="AV4" s="32"/>
      <c r="AW4" s="32"/>
      <c r="AX4" s="32"/>
      <c r="AY4" s="32"/>
      <c r="AZ4" s="33" t="s">
        <v>101</v>
      </c>
      <c r="BA4" s="32"/>
      <c r="BB4" s="32"/>
      <c r="BC4" s="32"/>
      <c r="BD4" s="32"/>
      <c r="BE4" s="34"/>
      <c r="BF4" s="2"/>
      <c r="BG4" s="31"/>
      <c r="BH4" s="32"/>
      <c r="BI4" s="32"/>
      <c r="BJ4" s="32"/>
      <c r="BK4" s="32"/>
      <c r="BL4" s="32"/>
      <c r="BM4" s="33" t="s">
        <v>102</v>
      </c>
      <c r="BN4" s="32"/>
      <c r="BO4" s="32"/>
      <c r="BP4" s="32"/>
      <c r="BQ4" s="32"/>
      <c r="BR4" s="34"/>
      <c r="BS4" s="2"/>
      <c r="BT4" s="2"/>
    </row>
    <row r="5" spans="1:72" ht="14.5">
      <c r="A5" s="2"/>
      <c r="B5" s="1"/>
      <c r="C5" s="1"/>
      <c r="D5" s="1"/>
      <c r="E5" s="1"/>
      <c r="F5" s="1"/>
      <c r="G5" s="35" t="str">
        <f>SOFP!F5</f>
        <v>Jan</v>
      </c>
      <c r="H5" s="35" t="str">
        <f>SOFP!G5</f>
        <v>Feb</v>
      </c>
      <c r="I5" s="35" t="str">
        <f>SOFP!H5</f>
        <v>Mar</v>
      </c>
      <c r="J5" s="35" t="str">
        <f>SOFP!I5</f>
        <v>Apr</v>
      </c>
      <c r="K5" s="35" t="str">
        <f>SOFP!J5</f>
        <v>May</v>
      </c>
      <c r="L5" s="35" t="str">
        <f>SOFP!K5</f>
        <v>Jun</v>
      </c>
      <c r="M5" s="35" t="str">
        <f>SOFP!L5</f>
        <v>Jul</v>
      </c>
      <c r="N5" s="35" t="str">
        <f>SOFP!M5</f>
        <v>Aug</v>
      </c>
      <c r="O5" s="35" t="str">
        <f>SOFP!N5</f>
        <v>Sep</v>
      </c>
      <c r="P5" s="35" t="str">
        <f>SOFP!O5</f>
        <v>Oct</v>
      </c>
      <c r="Q5" s="35" t="str">
        <f>SOFP!P5</f>
        <v>Nov</v>
      </c>
      <c r="R5" s="35" t="str">
        <f>SOFP!Q5</f>
        <v>Dec</v>
      </c>
      <c r="S5" s="2"/>
      <c r="T5" s="35" t="str">
        <f t="shared" ref="T5:AE5" si="0">G5</f>
        <v>Jan</v>
      </c>
      <c r="U5" s="35" t="str">
        <f t="shared" si="0"/>
        <v>Feb</v>
      </c>
      <c r="V5" s="35" t="str">
        <f t="shared" si="0"/>
        <v>Mar</v>
      </c>
      <c r="W5" s="35" t="str">
        <f t="shared" si="0"/>
        <v>Apr</v>
      </c>
      <c r="X5" s="35" t="str">
        <f t="shared" si="0"/>
        <v>May</v>
      </c>
      <c r="Y5" s="35" t="str">
        <f t="shared" si="0"/>
        <v>Jun</v>
      </c>
      <c r="Z5" s="35" t="str">
        <f t="shared" si="0"/>
        <v>Jul</v>
      </c>
      <c r="AA5" s="35" t="str">
        <f t="shared" si="0"/>
        <v>Aug</v>
      </c>
      <c r="AB5" s="35" t="str">
        <f t="shared" si="0"/>
        <v>Sep</v>
      </c>
      <c r="AC5" s="35" t="str">
        <f t="shared" si="0"/>
        <v>Oct</v>
      </c>
      <c r="AD5" s="35" t="str">
        <f t="shared" si="0"/>
        <v>Nov</v>
      </c>
      <c r="AE5" s="35" t="str">
        <f t="shared" si="0"/>
        <v>Dec</v>
      </c>
      <c r="AF5" s="2"/>
      <c r="AG5" s="35" t="str">
        <f t="shared" ref="AG5:AR5" si="1">T5</f>
        <v>Jan</v>
      </c>
      <c r="AH5" s="35" t="str">
        <f t="shared" si="1"/>
        <v>Feb</v>
      </c>
      <c r="AI5" s="35" t="str">
        <f t="shared" si="1"/>
        <v>Mar</v>
      </c>
      <c r="AJ5" s="35" t="str">
        <f t="shared" si="1"/>
        <v>Apr</v>
      </c>
      <c r="AK5" s="35" t="str">
        <f t="shared" si="1"/>
        <v>May</v>
      </c>
      <c r="AL5" s="35" t="str">
        <f t="shared" si="1"/>
        <v>Jun</v>
      </c>
      <c r="AM5" s="35" t="str">
        <f t="shared" si="1"/>
        <v>Jul</v>
      </c>
      <c r="AN5" s="35" t="str">
        <f t="shared" si="1"/>
        <v>Aug</v>
      </c>
      <c r="AO5" s="35" t="str">
        <f t="shared" si="1"/>
        <v>Sep</v>
      </c>
      <c r="AP5" s="35" t="str">
        <f t="shared" si="1"/>
        <v>Oct</v>
      </c>
      <c r="AQ5" s="35" t="str">
        <f t="shared" si="1"/>
        <v>Nov</v>
      </c>
      <c r="AR5" s="35" t="str">
        <f t="shared" si="1"/>
        <v>Dec</v>
      </c>
      <c r="AT5" s="35" t="str">
        <f t="shared" ref="AT5:BE5" si="2">AG5</f>
        <v>Jan</v>
      </c>
      <c r="AU5" s="35" t="str">
        <f t="shared" si="2"/>
        <v>Feb</v>
      </c>
      <c r="AV5" s="35" t="str">
        <f t="shared" si="2"/>
        <v>Mar</v>
      </c>
      <c r="AW5" s="35" t="str">
        <f t="shared" si="2"/>
        <v>Apr</v>
      </c>
      <c r="AX5" s="35" t="str">
        <f t="shared" si="2"/>
        <v>May</v>
      </c>
      <c r="AY5" s="35" t="str">
        <f t="shared" si="2"/>
        <v>Jun</v>
      </c>
      <c r="AZ5" s="35" t="str">
        <f t="shared" si="2"/>
        <v>Jul</v>
      </c>
      <c r="BA5" s="35" t="str">
        <f t="shared" si="2"/>
        <v>Aug</v>
      </c>
      <c r="BB5" s="35" t="str">
        <f t="shared" si="2"/>
        <v>Sep</v>
      </c>
      <c r="BC5" s="35" t="str">
        <f t="shared" si="2"/>
        <v>Oct</v>
      </c>
      <c r="BD5" s="35" t="str">
        <f t="shared" si="2"/>
        <v>Nov</v>
      </c>
      <c r="BE5" s="35" t="str">
        <f t="shared" si="2"/>
        <v>Dec</v>
      </c>
      <c r="BF5" s="2"/>
      <c r="BG5" s="35" t="str">
        <f t="shared" ref="BG5:BR5" si="3">AT5</f>
        <v>Jan</v>
      </c>
      <c r="BH5" s="35" t="str">
        <f t="shared" si="3"/>
        <v>Feb</v>
      </c>
      <c r="BI5" s="35" t="str">
        <f t="shared" si="3"/>
        <v>Mar</v>
      </c>
      <c r="BJ5" s="35" t="str">
        <f t="shared" si="3"/>
        <v>Apr</v>
      </c>
      <c r="BK5" s="35" t="str">
        <f t="shared" si="3"/>
        <v>May</v>
      </c>
      <c r="BL5" s="35" t="str">
        <f t="shared" si="3"/>
        <v>Jun</v>
      </c>
      <c r="BM5" s="35" t="str">
        <f t="shared" si="3"/>
        <v>Jul</v>
      </c>
      <c r="BN5" s="35" t="str">
        <f t="shared" si="3"/>
        <v>Aug</v>
      </c>
      <c r="BO5" s="35" t="str">
        <f t="shared" si="3"/>
        <v>Sep</v>
      </c>
      <c r="BP5" s="35" t="str">
        <f t="shared" si="3"/>
        <v>Oct</v>
      </c>
      <c r="BQ5" s="35" t="str">
        <f t="shared" si="3"/>
        <v>Nov</v>
      </c>
      <c r="BR5" s="35" t="str">
        <f t="shared" si="3"/>
        <v>Dec</v>
      </c>
      <c r="BS5" s="2"/>
      <c r="BT5" s="2"/>
    </row>
    <row r="6" spans="1:72" ht="14.5">
      <c r="A6" s="1" t="s">
        <v>76</v>
      </c>
      <c r="B6" s="2"/>
      <c r="C6" s="2"/>
      <c r="D6" s="2"/>
      <c r="E6" s="2"/>
      <c r="F6" s="2"/>
      <c r="G6" s="3">
        <v>1</v>
      </c>
      <c r="H6" s="3">
        <v>2</v>
      </c>
      <c r="I6" s="3">
        <v>3</v>
      </c>
      <c r="J6" s="3">
        <v>4</v>
      </c>
      <c r="K6" s="3">
        <v>5</v>
      </c>
      <c r="L6" s="3">
        <v>6</v>
      </c>
      <c r="M6" s="3">
        <v>7</v>
      </c>
      <c r="N6" s="3">
        <v>8</v>
      </c>
      <c r="O6" s="3">
        <v>9</v>
      </c>
      <c r="P6" s="3">
        <v>10</v>
      </c>
      <c r="Q6" s="3">
        <v>11</v>
      </c>
      <c r="R6" s="3">
        <v>12</v>
      </c>
      <c r="S6" s="37"/>
      <c r="T6" s="3">
        <v>13</v>
      </c>
      <c r="U6" s="3">
        <v>14</v>
      </c>
      <c r="V6" s="3">
        <v>15</v>
      </c>
      <c r="W6" s="3">
        <v>16</v>
      </c>
      <c r="X6" s="3">
        <v>17</v>
      </c>
      <c r="Y6" s="3">
        <v>18</v>
      </c>
      <c r="Z6" s="3">
        <v>19</v>
      </c>
      <c r="AA6" s="3">
        <v>20</v>
      </c>
      <c r="AB6" s="3">
        <v>21</v>
      </c>
      <c r="AC6" s="3">
        <v>22</v>
      </c>
      <c r="AD6" s="3">
        <v>23</v>
      </c>
      <c r="AE6" s="3">
        <v>24</v>
      </c>
      <c r="AF6" s="37"/>
      <c r="AG6" s="3">
        <v>25</v>
      </c>
      <c r="AH6" s="3">
        <v>26</v>
      </c>
      <c r="AI6" s="3">
        <v>27</v>
      </c>
      <c r="AJ6" s="3">
        <v>28</v>
      </c>
      <c r="AK6" s="3">
        <v>29</v>
      </c>
      <c r="AL6" s="3">
        <v>30</v>
      </c>
      <c r="AM6" s="3">
        <v>31</v>
      </c>
      <c r="AN6" s="3">
        <v>32</v>
      </c>
      <c r="AO6" s="3">
        <v>33</v>
      </c>
      <c r="AP6" s="3">
        <v>34</v>
      </c>
      <c r="AQ6" s="3">
        <v>35</v>
      </c>
      <c r="AR6" s="3">
        <v>36</v>
      </c>
      <c r="AT6" s="3">
        <v>37</v>
      </c>
      <c r="AU6" s="3">
        <v>38</v>
      </c>
      <c r="AV6" s="3">
        <v>39</v>
      </c>
      <c r="AW6" s="3">
        <v>40</v>
      </c>
      <c r="AX6" s="3">
        <v>41</v>
      </c>
      <c r="AY6" s="3">
        <v>42</v>
      </c>
      <c r="AZ6" s="3">
        <v>43</v>
      </c>
      <c r="BA6" s="3">
        <v>44</v>
      </c>
      <c r="BB6" s="3">
        <v>45</v>
      </c>
      <c r="BC6" s="3">
        <v>46</v>
      </c>
      <c r="BD6" s="3">
        <v>47</v>
      </c>
      <c r="BE6" s="3">
        <v>48</v>
      </c>
      <c r="BF6" s="2"/>
      <c r="BG6" s="3">
        <v>49</v>
      </c>
      <c r="BH6" s="3">
        <v>50</v>
      </c>
      <c r="BI6" s="3">
        <v>51</v>
      </c>
      <c r="BJ6" s="3">
        <v>52</v>
      </c>
      <c r="BK6" s="3">
        <v>53</v>
      </c>
      <c r="BL6" s="3">
        <v>54</v>
      </c>
      <c r="BM6" s="3">
        <v>55</v>
      </c>
      <c r="BN6" s="3">
        <v>56</v>
      </c>
      <c r="BO6" s="3">
        <v>57</v>
      </c>
      <c r="BP6" s="3">
        <v>58</v>
      </c>
      <c r="BQ6" s="3">
        <v>59</v>
      </c>
      <c r="BR6" s="3">
        <v>60</v>
      </c>
      <c r="BS6" s="2"/>
      <c r="BT6" s="2"/>
    </row>
    <row r="7" spans="1:72" ht="14.5">
      <c r="A7" s="1"/>
      <c r="B7" s="2" t="s">
        <v>77</v>
      </c>
      <c r="C7" s="2"/>
      <c r="D7" s="2"/>
      <c r="E7" s="2"/>
      <c r="F7" s="2"/>
      <c r="G7" s="3">
        <f>SOO!F83</f>
        <v>-13194.130479847772</v>
      </c>
      <c r="H7" s="3">
        <f>SOO!G83</f>
        <v>-7984.9641593542865</v>
      </c>
      <c r="I7" s="3">
        <f>SOO!H83</f>
        <v>1131.8667802283508</v>
      </c>
      <c r="J7" s="3">
        <f>SOO!I83</f>
        <v>7001.8652776894423</v>
      </c>
      <c r="K7" s="3">
        <f>SOO!J83</f>
        <v>11707.864040304456</v>
      </c>
      <c r="L7" s="3">
        <f>SOO!K83</f>
        <v>7001.8652776894423</v>
      </c>
      <c r="M7" s="3">
        <f>SOO!L83</f>
        <v>4657.1992002537172</v>
      </c>
      <c r="N7" s="3">
        <f>SOO!M83</f>
        <v>13470.53025031715</v>
      </c>
      <c r="O7" s="3">
        <f>SOO!N83</f>
        <v>12128.863951919815</v>
      </c>
      <c r="P7" s="3">
        <f>SOO!O83</f>
        <v>11707.864040304456</v>
      </c>
      <c r="Q7" s="3">
        <f>SOO!P83</f>
        <v>165.86704538227241</v>
      </c>
      <c r="R7" s="3">
        <f>SOO!Q83</f>
        <v>-2393.465639797013</v>
      </c>
      <c r="S7" s="3"/>
      <c r="T7" s="3">
        <f>SOO!S83</f>
        <v>-9974.0206273129861</v>
      </c>
      <c r="U7" s="3">
        <f>SOO!T83</f>
        <v>-8486.6666195626076</v>
      </c>
      <c r="V7" s="3">
        <f>SOO!U83</f>
        <v>2078.0084340305175</v>
      </c>
      <c r="W7" s="3">
        <f>SOO!V83</f>
        <v>8666.9864676705056</v>
      </c>
      <c r="X7" s="3">
        <f>SOO!W83</f>
        <v>14130.037495374032</v>
      </c>
      <c r="Y7" s="3">
        <f>SOO!X83</f>
        <v>8666.9864676705056</v>
      </c>
      <c r="Z7" s="3">
        <f>SOO!Y83</f>
        <v>6095.351454478352</v>
      </c>
      <c r="AA7" s="3">
        <f>SOO!Z83</f>
        <v>16138.709005597937</v>
      </c>
      <c r="AB7" s="3">
        <f>SOO!AA83</f>
        <v>14495.858997352847</v>
      </c>
      <c r="AC7" s="3">
        <f>SOO!AB83</f>
        <v>14130.037495374032</v>
      </c>
      <c r="AD7" s="3">
        <f>SOO!AC83</f>
        <v>895.15642809404926</v>
      </c>
      <c r="AE7" s="3">
        <f>SOO!AD83</f>
        <v>-1939.3345864173198</v>
      </c>
      <c r="AF7" s="3"/>
      <c r="AG7" s="3">
        <f>SOO!AF83</f>
        <v>-10551.362731855435</v>
      </c>
      <c r="AH7" s="3">
        <f>SOO!AG83</f>
        <v>-8845.2635441836683</v>
      </c>
      <c r="AI7" s="3">
        <f>SOO!AH83</f>
        <v>3259.9891897168682</v>
      </c>
      <c r="AJ7" s="3">
        <f>SOO!AI83</f>
        <v>10811.737259611335</v>
      </c>
      <c r="AK7" s="3">
        <f>SOO!AJ83</f>
        <v>17071.34111128913</v>
      </c>
      <c r="AL7" s="3">
        <f>SOO!AK83</f>
        <v>10811.737259611335</v>
      </c>
      <c r="AM7" s="3">
        <f>SOO!AL83</f>
        <v>7863.7731635742803</v>
      </c>
      <c r="AN7" s="3">
        <f>SOO!AM83</f>
        <v>19373.233098217846</v>
      </c>
      <c r="AO7" s="3">
        <f>SOO!AN83</f>
        <v>17491.619600694674</v>
      </c>
      <c r="AP7" s="3">
        <f>SOO!AO83</f>
        <v>17071.34111128913</v>
      </c>
      <c r="AQ7" s="3">
        <f>SOO!AP83</f>
        <v>1905.2274715001649</v>
      </c>
      <c r="AR7" s="3">
        <f>SOO!AQ83</f>
        <v>-1343.7947841405712</v>
      </c>
      <c r="AS7" s="3"/>
      <c r="AT7" s="3">
        <f>SOO!AS83</f>
        <v>-11005.387225694965</v>
      </c>
      <c r="AU7" s="3">
        <f>SOO!AT83</f>
        <v>-9216.1909481441126</v>
      </c>
      <c r="AV7" s="3">
        <f>SOO!AU83</f>
        <v>3479.0572397075484</v>
      </c>
      <c r="AW7" s="3">
        <f>SOO!AV83</f>
        <v>11398.809619928292</v>
      </c>
      <c r="AX7" s="3">
        <f>SOO!AW83</f>
        <v>17963.501705110069</v>
      </c>
      <c r="AY7" s="3">
        <f>SOO!AX83</f>
        <v>11398.809619928292</v>
      </c>
      <c r="AZ7" s="3">
        <f>SOO!AY83</f>
        <v>8307.2053948417306</v>
      </c>
      <c r="BA7" s="3">
        <f>SOO!AZ83</f>
        <v>20377.57578267717</v>
      </c>
      <c r="BB7" s="3">
        <f>SOO!BA83</f>
        <v>18404.230407623058</v>
      </c>
      <c r="BC7" s="3">
        <f>SOO!BB83</f>
        <v>17963.501705110069</v>
      </c>
      <c r="BD7" s="3">
        <f>SOO!BC83</f>
        <v>2058.2485696686044</v>
      </c>
      <c r="BE7" s="3">
        <f>SOO!BD83</f>
        <v>-1349.0909154266301</v>
      </c>
      <c r="BF7" s="3"/>
      <c r="BG7" s="3">
        <f>SOO!BF83</f>
        <v>-11253.824112712362</v>
      </c>
      <c r="BH7" s="3">
        <f>SOO!BG83</f>
        <v>-9294.8957176375097</v>
      </c>
      <c r="BI7" s="3">
        <f>SOO!BH83</f>
        <v>4590.1893197152058</v>
      </c>
      <c r="BJ7" s="3">
        <f>SOO!BI83</f>
        <v>13254.345275199692</v>
      </c>
      <c r="BK7" s="3">
        <f>SOO!BJ83</f>
        <v>20434.202752142766</v>
      </c>
      <c r="BL7" s="3">
        <f>SOO!BK83</f>
        <v>13254.345275199692</v>
      </c>
      <c r="BM7" s="3">
        <f>SOO!BL83</f>
        <v>9871.5271305243768</v>
      </c>
      <c r="BN7" s="3">
        <f>SOO!BM83</f>
        <v>23074.871657547345</v>
      </c>
      <c r="BO7" s="3">
        <f>SOO!BN83</f>
        <v>20917.462946031548</v>
      </c>
      <c r="BP7" s="3">
        <f>SOO!BO83</f>
        <v>20434.202752142766</v>
      </c>
      <c r="BQ7" s="3">
        <f>SOO!BP83</f>
        <v>3036.8550474238364</v>
      </c>
      <c r="BR7" s="3">
        <f>SOO!BQ83</f>
        <v>-691.14849109397619</v>
      </c>
      <c r="BS7" s="3"/>
      <c r="BT7" s="2"/>
    </row>
    <row r="8" spans="1:72" ht="14.5">
      <c r="A8" s="1"/>
      <c r="B8" s="2" t="s">
        <v>78</v>
      </c>
      <c r="C8" s="2"/>
      <c r="D8" s="2"/>
      <c r="E8" s="2"/>
      <c r="F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2"/>
    </row>
    <row r="9" spans="1:72" ht="14.5">
      <c r="A9" s="1"/>
      <c r="B9" s="2" t="s">
        <v>79</v>
      </c>
      <c r="C9" s="2"/>
      <c r="D9" s="2"/>
      <c r="E9" s="2"/>
      <c r="F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2"/>
    </row>
    <row r="10" spans="1:72" ht="14.5">
      <c r="A10" s="1"/>
      <c r="B10" s="2"/>
      <c r="C10" s="2" t="s">
        <v>48</v>
      </c>
      <c r="D10" s="2"/>
      <c r="E10" s="2"/>
      <c r="F10" s="2"/>
      <c r="G10" s="3">
        <f>SOO!F69</f>
        <v>1205</v>
      </c>
      <c r="H10" s="3">
        <f>SOO!G69</f>
        <v>1205</v>
      </c>
      <c r="I10" s="3">
        <f>SOO!H69</f>
        <v>1205</v>
      </c>
      <c r="J10" s="3">
        <f>SOO!I69</f>
        <v>1205</v>
      </c>
      <c r="K10" s="3">
        <f>SOO!J69</f>
        <v>1205</v>
      </c>
      <c r="L10" s="3">
        <f>SOO!K69</f>
        <v>1205</v>
      </c>
      <c r="M10" s="3">
        <f>SOO!L69</f>
        <v>1205</v>
      </c>
      <c r="N10" s="3">
        <f>SOO!M69</f>
        <v>1205</v>
      </c>
      <c r="O10" s="3">
        <f>SOO!N69</f>
        <v>1205</v>
      </c>
      <c r="P10" s="3">
        <f>SOO!O69</f>
        <v>1205</v>
      </c>
      <c r="Q10" s="3">
        <f>SOO!P69</f>
        <v>1205</v>
      </c>
      <c r="R10" s="3">
        <f>SOO!Q69</f>
        <v>1205</v>
      </c>
      <c r="S10" s="3">
        <f>SOO!R69</f>
        <v>14460</v>
      </c>
      <c r="T10" s="3">
        <f>SOO!S69</f>
        <v>1205</v>
      </c>
      <c r="U10" s="3">
        <f>SOO!T69</f>
        <v>1205</v>
      </c>
      <c r="V10" s="3">
        <f>SOO!U69</f>
        <v>1205</v>
      </c>
      <c r="W10" s="3">
        <f>SOO!V69</f>
        <v>1205</v>
      </c>
      <c r="X10" s="3">
        <f>SOO!W69</f>
        <v>1205</v>
      </c>
      <c r="Y10" s="3">
        <f>SOO!X69</f>
        <v>1205</v>
      </c>
      <c r="Z10" s="3">
        <f>SOO!Y69</f>
        <v>1205</v>
      </c>
      <c r="AA10" s="3">
        <f>SOO!Z69</f>
        <v>1205</v>
      </c>
      <c r="AB10" s="3">
        <f>SOO!AA69</f>
        <v>1205</v>
      </c>
      <c r="AC10" s="3">
        <f>SOO!AB69</f>
        <v>1205</v>
      </c>
      <c r="AD10" s="3">
        <f>SOO!AC69</f>
        <v>1205</v>
      </c>
      <c r="AE10" s="3">
        <f>SOO!AD69</f>
        <v>1205</v>
      </c>
      <c r="AF10" s="3"/>
      <c r="AG10" s="3">
        <f>SOO!AF69</f>
        <v>1205</v>
      </c>
      <c r="AH10" s="3">
        <f>SOO!AG69</f>
        <v>1205</v>
      </c>
      <c r="AI10" s="3">
        <f>SOO!AH69</f>
        <v>1205</v>
      </c>
      <c r="AJ10" s="3">
        <f>SOO!AI69</f>
        <v>1205</v>
      </c>
      <c r="AK10" s="3">
        <f>SOO!AJ69</f>
        <v>1205</v>
      </c>
      <c r="AL10" s="3">
        <f>SOO!AK69</f>
        <v>1205</v>
      </c>
      <c r="AM10" s="3">
        <f>SOO!AL69</f>
        <v>1205</v>
      </c>
      <c r="AN10" s="3">
        <f>SOO!AM69</f>
        <v>1205</v>
      </c>
      <c r="AO10" s="3">
        <f>SOO!AN69</f>
        <v>1205</v>
      </c>
      <c r="AP10" s="3">
        <f>SOO!AO69</f>
        <v>1205</v>
      </c>
      <c r="AQ10" s="3">
        <f>SOO!AP69</f>
        <v>1205</v>
      </c>
      <c r="AR10" s="3">
        <f>SOO!AQ69</f>
        <v>1205</v>
      </c>
      <c r="AS10" s="3"/>
      <c r="AT10" s="3">
        <f>SOO!AS69</f>
        <v>1205</v>
      </c>
      <c r="AU10" s="3">
        <f>SOO!AT69</f>
        <v>1205</v>
      </c>
      <c r="AV10" s="3">
        <f>SOO!AU69</f>
        <v>1205</v>
      </c>
      <c r="AW10" s="3">
        <f>SOO!AV69</f>
        <v>1205</v>
      </c>
      <c r="AX10" s="3">
        <f>SOO!AW69</f>
        <v>1205</v>
      </c>
      <c r="AY10" s="3">
        <f>SOO!AX69</f>
        <v>1205</v>
      </c>
      <c r="AZ10" s="3">
        <f>SOO!AY69</f>
        <v>1205</v>
      </c>
      <c r="BA10" s="3">
        <f>SOO!AZ69</f>
        <v>1205</v>
      </c>
      <c r="BB10" s="3">
        <f>SOO!BA69</f>
        <v>1205</v>
      </c>
      <c r="BC10" s="3">
        <f>SOO!BB69</f>
        <v>1205</v>
      </c>
      <c r="BD10" s="3">
        <f>SOO!BC69</f>
        <v>1205</v>
      </c>
      <c r="BE10" s="3">
        <f>SOO!BD69</f>
        <v>1205</v>
      </c>
      <c r="BF10" s="3"/>
      <c r="BG10" s="3">
        <f>SOO!BF69</f>
        <v>1205</v>
      </c>
      <c r="BH10" s="3">
        <f>SOO!BG69</f>
        <v>1205</v>
      </c>
      <c r="BI10" s="3">
        <f>SOO!BH69</f>
        <v>1205</v>
      </c>
      <c r="BJ10" s="3">
        <f>SOO!BI69</f>
        <v>1205</v>
      </c>
      <c r="BK10" s="3">
        <f>SOO!BJ69</f>
        <v>1205</v>
      </c>
      <c r="BL10" s="3">
        <f>SOO!BK69</f>
        <v>1205</v>
      </c>
      <c r="BM10" s="3">
        <f>SOO!BL69</f>
        <v>1205</v>
      </c>
      <c r="BN10" s="3">
        <f>SOO!BM69</f>
        <v>1205</v>
      </c>
      <c r="BO10" s="3">
        <f>SOO!BN69</f>
        <v>1205</v>
      </c>
      <c r="BP10" s="3">
        <f>SOO!BO69</f>
        <v>1205</v>
      </c>
      <c r="BQ10" s="3">
        <f>SOO!BP69</f>
        <v>1205</v>
      </c>
      <c r="BR10" s="3">
        <f>SOO!BQ69</f>
        <v>1205</v>
      </c>
      <c r="BS10" s="3"/>
      <c r="BT10" s="2"/>
    </row>
    <row r="11" spans="1:72" ht="14.5">
      <c r="A11" s="1"/>
      <c r="B11" s="2"/>
      <c r="C11" s="2"/>
      <c r="D11" s="2"/>
      <c r="E11" s="2"/>
      <c r="F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2"/>
    </row>
    <row r="12" spans="1:72" ht="14.5">
      <c r="A12" s="1"/>
      <c r="B12" s="2"/>
      <c r="C12" s="2" t="s">
        <v>80</v>
      </c>
      <c r="D12" s="2"/>
      <c r="E12" s="2"/>
      <c r="F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2"/>
    </row>
    <row r="13" spans="1:72" ht="14.5">
      <c r="A13" s="1"/>
      <c r="B13" s="2"/>
      <c r="C13" s="2"/>
      <c r="D13" s="2" t="s">
        <v>10</v>
      </c>
      <c r="E13" s="2"/>
      <c r="F13" s="2"/>
      <c r="G13" s="3">
        <f>0-SOFP!F9</f>
        <v>0</v>
      </c>
      <c r="H13" s="3">
        <f>SOFP!F9-SOFP!G9</f>
        <v>-693.67109263392854</v>
      </c>
      <c r="I13" s="3">
        <f>SOFP!G9-SOFP!H9</f>
        <v>-43.820620099186272</v>
      </c>
      <c r="J13" s="3">
        <f>SOFP!H9-SOFP!I9</f>
        <v>-303.01492621777811</v>
      </c>
      <c r="K13" s="3">
        <f>SOFP!I9-SOFP!J9</f>
        <v>-190.20013830285166</v>
      </c>
      <c r="L13" s="3">
        <f>SOFP!J9-SOFP!K9</f>
        <v>-156.6354080141125</v>
      </c>
      <c r="M13" s="3">
        <f>SOFP!K9-SOFP!L9</f>
        <v>156.6354080141125</v>
      </c>
      <c r="N13" s="3">
        <f>SOFP!L9-SOFP!M9</f>
        <v>74.588289530530119</v>
      </c>
      <c r="O13" s="3">
        <f>SOFP!M9-SOFP!N9</f>
        <v>-289.02962193080361</v>
      </c>
      <c r="P13" s="3">
        <f>SOFP!N9-SOFP!O9</f>
        <v>46.617680956581353</v>
      </c>
      <c r="Q13" s="3">
        <f>SOFP!O9-SOFP!P9</f>
        <v>11.188243429579643</v>
      </c>
      <c r="R13" s="3">
        <f>SOFP!P9-SOFP!Q9</f>
        <v>380.40027660570252</v>
      </c>
      <c r="S13" s="3"/>
      <c r="T13" s="3">
        <f>SOFP!Q9-SOFP!S9</f>
        <v>209.22015213313671</v>
      </c>
      <c r="U13" s="3">
        <f>SOFP!S9-SOFP!T9</f>
        <v>-50.393713114064326</v>
      </c>
      <c r="V13" s="3">
        <f>SOFP!T9-SOFP!U9</f>
        <v>-348.46716515044477</v>
      </c>
      <c r="W13" s="3">
        <f>SOFP!U9-SOFP!V9</f>
        <v>-218.73015904827912</v>
      </c>
      <c r="X13" s="3">
        <f>SOFP!V9-SOFP!W9</f>
        <v>-180.13071921622964</v>
      </c>
      <c r="Y13" s="3">
        <f>SOFP!W9-SOFP!X9</f>
        <v>180.13071921622964</v>
      </c>
      <c r="Z13" s="3">
        <f>SOFP!X9-SOFP!Y9</f>
        <v>85.776532960109535</v>
      </c>
      <c r="AA13" s="3">
        <f>SOFP!Y9-SOFP!Z9</f>
        <v>-332.38406522042396</v>
      </c>
      <c r="AB13" s="3">
        <f>SOFP!Z9-SOFP!AA9</f>
        <v>53.610333100068601</v>
      </c>
      <c r="AC13" s="3">
        <f>SOFP!AA9-SOFP!AB9</f>
        <v>12.866479944016191</v>
      </c>
      <c r="AD13" s="3">
        <f>SOFP!AB9-SOFP!AC9</f>
        <v>437.46031809655824</v>
      </c>
      <c r="AE13" s="3">
        <f>SOFP!AC9-SOFP!AD9</f>
        <v>94.354186256120329</v>
      </c>
      <c r="AF13" s="3"/>
      <c r="AG13" s="3">
        <f>SOFP!AD9-SOFP!AF9</f>
        <v>151.03531923616072</v>
      </c>
      <c r="AH13" s="3">
        <f>SOFP!AF9-SOFP!AG9</f>
        <v>-57.650407802489667</v>
      </c>
      <c r="AI13" s="3">
        <f>SOFP!AG9-SOFP!AH9</f>
        <v>-398.64643693210905</v>
      </c>
      <c r="AJ13" s="3">
        <f>SOFP!AH9-SOFP!AI9</f>
        <v>-250.22730195123108</v>
      </c>
      <c r="AK13" s="3">
        <f>SOFP!AI9-SOFP!AJ9</f>
        <v>-206.06954278336661</v>
      </c>
      <c r="AL13" s="3">
        <f>SOFP!AJ9-SOFP!AK9</f>
        <v>206.06954278336661</v>
      </c>
      <c r="AM13" s="3">
        <f>SOFP!AK9-SOFP!AL9</f>
        <v>98.128353706365488</v>
      </c>
      <c r="AN13" s="3">
        <f>SOFP!AL9-SOFP!AM9</f>
        <v>-380.24737061216547</v>
      </c>
      <c r="AO13" s="3">
        <f>SOFP!AM9-SOFP!AN9</f>
        <v>61.330221066478543</v>
      </c>
      <c r="AP13" s="3">
        <f>SOFP!AN9-SOFP!AO9</f>
        <v>14.719253055954823</v>
      </c>
      <c r="AQ13" s="3">
        <f>SOFP!AO9-SOFP!AP9</f>
        <v>500.45460390246217</v>
      </c>
      <c r="AR13" s="3">
        <f>SOFP!AP9-SOFP!AQ9</f>
        <v>107.94118907700181</v>
      </c>
      <c r="AS13" s="3"/>
      <c r="AT13" s="3">
        <f>SOFP!AQ9-SOFP!AS9</f>
        <v>258.56821201627247</v>
      </c>
      <c r="AU13" s="3">
        <f>SOFP!AS9-SOFP!AT9</f>
        <v>-60.532928192614008</v>
      </c>
      <c r="AV13" s="3">
        <f>SOFP!AT9-SOFP!AU9</f>
        <v>-418.57875877871436</v>
      </c>
      <c r="AW13" s="3">
        <f>SOFP!AU9-SOFP!AV9</f>
        <v>-262.7386670487931</v>
      </c>
      <c r="AX13" s="3">
        <f>SOFP!AV9-SOFP!AW9</f>
        <v>-216.37301992253492</v>
      </c>
      <c r="AY13" s="3">
        <f>SOFP!AW9-SOFP!AX9</f>
        <v>216.37301992253492</v>
      </c>
      <c r="AZ13" s="3">
        <f>SOFP!AX9-SOFP!AY9</f>
        <v>103.03477139168399</v>
      </c>
      <c r="BA13" s="3">
        <f>SOFP!AY9-SOFP!AZ9</f>
        <v>-399.2597391427737</v>
      </c>
      <c r="BB13" s="3">
        <f>SOFP!AZ9-SOFP!BA9</f>
        <v>64.396732119802209</v>
      </c>
      <c r="BC13" s="3">
        <f>SOFP!BA9-SOFP!BB9</f>
        <v>15.455215708752576</v>
      </c>
      <c r="BD13" s="3">
        <f>SOFP!BB9-SOFP!BC9</f>
        <v>525.47733409758575</v>
      </c>
      <c r="BE13" s="3">
        <f>SOFP!BC9-SOFP!BD9</f>
        <v>113.33824853085162</v>
      </c>
      <c r="BF13" s="3"/>
      <c r="BG13" s="3">
        <f>SOFP!BD9-SOFP!BF9</f>
        <v>231.25124091149451</v>
      </c>
      <c r="BH13" s="3">
        <f>SOFP!BF9-SOFP!BG9</f>
        <v>-66.101957586334493</v>
      </c>
      <c r="BI13" s="3">
        <f>SOFP!BG9-SOFP!BH9</f>
        <v>-457.08800458635596</v>
      </c>
      <c r="BJ13" s="3">
        <f>SOFP!BH9-SOFP!BI9</f>
        <v>-286.91062441728195</v>
      </c>
      <c r="BK13" s="3">
        <f>SOFP!BI9-SOFP!BJ9</f>
        <v>-236.27933775540851</v>
      </c>
      <c r="BL13" s="3">
        <f>SOFP!BJ9-SOFP!BK9</f>
        <v>236.27933775540851</v>
      </c>
      <c r="BM13" s="3">
        <f>SOFP!BK9-SOFP!BL9</f>
        <v>112.51397035971854</v>
      </c>
      <c r="BN13" s="3">
        <f>SOFP!BL9-SOFP!BM9</f>
        <v>-435.99163514390898</v>
      </c>
      <c r="BO13" s="3">
        <f>SOFP!BM9-SOFP!BN9</f>
        <v>70.321231474824344</v>
      </c>
      <c r="BP13" s="3">
        <f>SOFP!BN9-SOFP!BO9</f>
        <v>16.877095553957588</v>
      </c>
      <c r="BQ13" s="3">
        <f>SOFP!BO9-SOFP!BP9</f>
        <v>573.82124883456345</v>
      </c>
      <c r="BR13" s="3">
        <f>SOFP!BP9-SOFP!BQ9</f>
        <v>123.76536739569065</v>
      </c>
      <c r="BS13" s="3"/>
      <c r="BT13" s="2"/>
    </row>
    <row r="14" spans="1:72" ht="14.5">
      <c r="A14" s="1"/>
      <c r="B14" s="2"/>
      <c r="C14" s="2"/>
      <c r="D14" s="2" t="s">
        <v>11</v>
      </c>
      <c r="E14" s="2"/>
      <c r="F14" s="2"/>
      <c r="G14" s="3">
        <f>0-(SOFP!F11+SOFP!F12+SOFP!F13)</f>
        <v>-18537.545831660223</v>
      </c>
      <c r="H14" s="3">
        <f>(SOFP!F11+SOFP!F12+SOFP!F13)-(SOFP!G11+SOFP!G12+SOFP!G13)</f>
        <v>6561.5897017879142</v>
      </c>
      <c r="I14" s="3">
        <f>(SOFP!G11+SOFP!G12+SOFP!G13)-(SOFP!H11+SOFP!H12+SOFP!H13)</f>
        <v>-3790.9216632824518</v>
      </c>
      <c r="J14" s="3">
        <f>(SOFP!H11+SOFP!H12+SOFP!H13)-(SOFP!I11+SOFP!I12+SOFP!I13)</f>
        <v>-1844.2172652889767</v>
      </c>
      <c r="K14" s="3">
        <f>(SOFP!I11+SOFP!I12+SOFP!I13)-(SOFP!J11+SOFP!J12+SOFP!J13)</f>
        <v>-1250.7965548995126</v>
      </c>
      <c r="L14" s="3">
        <f>(SOFP!J11+SOFP!J12+SOFP!J13)-(SOFP!K11+SOFP!K12+SOFP!K13)</f>
        <v>1075.681560949899</v>
      </c>
      <c r="M14" s="3">
        <f>(SOFP!K11+SOFP!K12+SOFP!K13)-(SOFP!L11+SOFP!L12+SOFP!L13)</f>
        <v>489.4311710449474</v>
      </c>
      <c r="N14" s="3">
        <f>(SOFP!L11+SOFP!L12+SOFP!L13)-(SOFP!M11+SOFP!M12+SOFP!M13)</f>
        <v>-2932.5935546634973</v>
      </c>
      <c r="O14" s="3">
        <f>(SOFP!M11+SOFP!M12+SOFP!M13)-(SOFP!N11+SOFP!N12+SOFP!N13)</f>
        <v>1378.1027128696223</v>
      </c>
      <c r="P14" s="3">
        <f>(SOFP!N11+SOFP!N12+SOFP!N13)-(SOFP!O11+SOFP!O12+SOFP!O13)</f>
        <v>829.35714675339477</v>
      </c>
      <c r="Q14" s="3">
        <f>(SOFP!O11+SOFP!O12+SOFP!O13)-(SOFP!P11+SOFP!P12+SOFP!P13)</f>
        <v>4346.8160667750471</v>
      </c>
      <c r="R14" s="3">
        <f>(SOFP!P11+SOFP!P12+SOFP!P13)-(SOFP!Q11+SOFP!Q12+SOFP!Q13)</f>
        <v>914.78079230741969</v>
      </c>
      <c r="S14" s="3"/>
      <c r="T14" s="3">
        <f>(SOFP!Q11+SOFP!Q12+SOFP!Q13)-(SOFP!S11+SOFP!S12+SOFP!S13)</f>
        <v>442.76957342137757</v>
      </c>
      <c r="U14" s="3">
        <f>(SOFP!S11+SOFP!S12+SOFP!S13)-(SOFP!T11+SOFP!T12+SOFP!T13)</f>
        <v>-1519.9288103837498</v>
      </c>
      <c r="V14" s="3">
        <f>(SOFP!T11+SOFP!T12+SOFP!T13)-(SOFP!U11+SOFP!U12+SOFP!U13)</f>
        <v>-4367.8486006731691</v>
      </c>
      <c r="W14" s="3">
        <f>(SOFP!U11+SOFP!U12+SOFP!U13)-(SOFP!V11+SOFP!V12+SOFP!V13)</f>
        <v>-2112.5611671839761</v>
      </c>
      <c r="X14" s="3">
        <f>(SOFP!V11+SOFP!V12+SOFP!V13)-(SOFP!W11+SOFP!W12+SOFP!W13)</f>
        <v>-1434.4690438971229</v>
      </c>
      <c r="Y14" s="3">
        <f>(SOFP!W11+SOFP!W12+SOFP!W13)-(SOFP!X11+SOFP!X12+SOFP!X13)</f>
        <v>1221.7391924227995</v>
      </c>
      <c r="Z14" s="3">
        <f>(SOFP!X11+SOFP!X12+SOFP!X13)-(SOFP!Y11+SOFP!Y12+SOFP!Y13)</f>
        <v>565.31271810000908</v>
      </c>
      <c r="AA14" s="3">
        <f>(SOFP!Y11+SOFP!Y12+SOFP!Y13)-(SOFP!Z11+SOFP!Z12+SOFP!Z13)</f>
        <v>-3371.8905387274244</v>
      </c>
      <c r="AB14" s="3">
        <f>(SOFP!Z11+SOFP!Z12+SOFP!Z13)-(SOFP!AA11+SOFP!AA12+SOFP!AA13)</f>
        <v>1604.9477904103514</v>
      </c>
      <c r="AC14" s="3">
        <f>(SOFP!AA11+SOFP!AA12+SOFP!AA13)-(SOFP!AB11+SOFP!AB12+SOFP!AB13)</f>
        <v>958.10241242744451</v>
      </c>
      <c r="AD14" s="3">
        <f>(SOFP!AB11+SOFP!AB12+SOFP!AB13)-(SOFP!AC11+SOFP!AC12+SOFP!AC13)</f>
        <v>5100.1988676031542</v>
      </c>
      <c r="AE14" s="3">
        <f>(SOFP!AC11+SOFP!AC12+SOFP!AC13)-(SOFP!AD11+SOFP!AD12+SOFP!AD13)</f>
        <v>1061.8972091832111</v>
      </c>
      <c r="AF14" s="3"/>
      <c r="AG14" s="3">
        <f>(SOFP!AD11+SOFP!AD12+SOFP!AD13)-(SOFP!AF11+SOFP!AF12+SOFP!AF13)</f>
        <v>582.55128510199575</v>
      </c>
      <c r="AH14" s="3">
        <f>(SOFP!AF11+SOFP!AF12+SOFP!AF13)-(SOFP!AG11+SOFP!AG12+SOFP!AG13)</f>
        <v>-1727.5058138666354</v>
      </c>
      <c r="AI14" s="3">
        <f>(SOFP!AG11+SOFP!AG12+SOFP!AG13)-(SOFP!AH11+SOFP!AH12+SOFP!AH13)</f>
        <v>-4987.5188913481579</v>
      </c>
      <c r="AJ14" s="3">
        <f>(SOFP!AH11+SOFP!AH12+SOFP!AH13)-(SOFP!AI11+SOFP!AI12+SOFP!AI13)</f>
        <v>-2426.0698830804176</v>
      </c>
      <c r="AK14" s="3">
        <f>(SOFP!AI11+SOFP!AI12+SOFP!AI13)-(SOFP!AJ11+SOFP!AJ12+SOFP!AJ13)</f>
        <v>-1645.461113752579</v>
      </c>
      <c r="AL14" s="3">
        <f>(SOFP!AJ11+SOFP!AJ12+SOFP!AJ13)-(SOFP!AK11+SOFP!AK12+SOFP!AK13)</f>
        <v>1414.8301803269569</v>
      </c>
      <c r="AM14" s="3">
        <f>(SOFP!AK11+SOFP!AK12+SOFP!AK13)-(SOFP!AL11+SOFP!AL12+SOFP!AL13)</f>
        <v>643.9499197974983</v>
      </c>
      <c r="AN14" s="3">
        <f>(SOFP!AL11+SOFP!AL12+SOFP!AL13)-(SOFP!AM11+SOFP!AM12+SOFP!AM13)</f>
        <v>-3858.1070554343132</v>
      </c>
      <c r="AO14" s="3">
        <f>(SOFP!AM11+SOFP!AM12+SOFP!AM13)-(SOFP!AN11+SOFP!AN12+SOFP!AN13)</f>
        <v>1813.4747818046999</v>
      </c>
      <c r="AP14" s="3">
        <f>(SOFP!AN11+SOFP!AN12+SOFP!AN13)-(SOFP!AO11+SOFP!AO12+SOFP!AO13)</f>
        <v>1091.197779529306</v>
      </c>
      <c r="AQ14" s="3">
        <f>(SOFP!AO11+SOFP!AO12+SOFP!AO13)-(SOFP!AP11+SOFP!AP12+SOFP!AP13)</f>
        <v>5933.0466576067192</v>
      </c>
      <c r="AR14" s="3">
        <f>(SOFP!AP11+SOFP!AP12+SOFP!AP13)-(SOFP!AQ11+SOFP!AQ12+SOFP!AQ13)</f>
        <v>1342.570699904074</v>
      </c>
      <c r="AS14" s="3"/>
      <c r="AT14" s="3">
        <f>(SOFP!AQ11+SOFP!AQ12+SOFP!AQ13)-(SOFP!AS11+SOFP!AS12+SOFP!AS13)</f>
        <v>1637.9538028384904</v>
      </c>
      <c r="AU14" s="3">
        <f>(SOFP!AS11+SOFP!AS12+SOFP!AS13)-(SOFP!AT11+SOFP!AT12+SOFP!AT13)</f>
        <v>-1825.9756346824197</v>
      </c>
      <c r="AV14" s="3">
        <f>(SOFP!AT11+SOFP!AT12+SOFP!AT13)-(SOFP!AU11+SOFP!AU12+SOFP!AU13)</f>
        <v>-5246.8550371928759</v>
      </c>
      <c r="AW14" s="3">
        <f>(SOFP!AU11+SOFP!AU12+SOFP!AU13)-(SOFP!AV11+SOFP!AV12+SOFP!AV13)</f>
        <v>-2537.4131759571319</v>
      </c>
      <c r="AX14" s="3">
        <f>(SOFP!AV11+SOFP!AV12+SOFP!AV13)-(SOFP!AW11+SOFP!AW12+SOFP!AW13)</f>
        <v>-1722.991216451006</v>
      </c>
      <c r="AY14" s="3">
        <f>(SOFP!AW11+SOFP!AW12+SOFP!AW13)-(SOFP!AX11+SOFP!AX12+SOFP!AX13)</f>
        <v>1467.1927465101689</v>
      </c>
      <c r="AZ14" s="3">
        <f>(SOFP!AX11+SOFP!AX12+SOFP!AX13)-(SOFP!AY11+SOFP!AY12+SOFP!AY13)</f>
        <v>679.11176140562384</v>
      </c>
      <c r="BA14" s="3">
        <f>(SOFP!AY11+SOFP!AY12+SOFP!AY13)-(SOFP!AZ11+SOFP!AZ12+SOFP!AZ13)</f>
        <v>-4050.3009652576511</v>
      </c>
      <c r="BB14" s="3">
        <f>(SOFP!AZ11+SOFP!AZ12+SOFP!AZ13)-(SOFP!BA11+SOFP!BA12+SOFP!BA13)</f>
        <v>1928.3375811398328</v>
      </c>
      <c r="BC14" s="3">
        <f>(SOFP!BA11+SOFP!BA12+SOFP!BA13)-(SOFP!BB11+SOFP!BB12+SOFP!BB13)</f>
        <v>1150.9749167938899</v>
      </c>
      <c r="BD14" s="3">
        <f>(SOFP!BB11+SOFP!BB12+SOFP!BB13)-(SOFP!BC11+SOFP!BC12+SOFP!BC13)</f>
        <v>6241.2703728947927</v>
      </c>
      <c r="BE14" s="3">
        <f>(SOFP!BC11+SOFP!BC12+SOFP!BC13)-(SOFP!BD11+SOFP!BD12+SOFP!BD13)</f>
        <v>1351.320646066968</v>
      </c>
      <c r="BF14" s="3"/>
      <c r="BG14" s="3">
        <f>(SOFP!BD11+SOFP!BD12+SOFP!BD13)-(SOFP!BF11+SOFP!BF12+SOFP!BF13)</f>
        <v>1274.8535503210587</v>
      </c>
      <c r="BH14" s="3">
        <f>(SOFP!BF11+SOFP!BF12+SOFP!BF13)-(SOFP!BG11+SOFP!BG12+SOFP!BG13)</f>
        <v>-1981.0121513120575</v>
      </c>
      <c r="BI14" s="3">
        <f>(SOFP!BG11+SOFP!BG12+SOFP!BG13)-(SOFP!BH11+SOFP!BH12+SOFP!BH13)</f>
        <v>-5718.8983250466226</v>
      </c>
      <c r="BJ14" s="3">
        <f>(SOFP!BH11+SOFP!BH12+SOFP!BH13)-(SOFP!BI11+SOFP!BI12+SOFP!BI13)</f>
        <v>-2781.522563713188</v>
      </c>
      <c r="BK14" s="3">
        <f>(SOFP!BI11+SOFP!BI12+SOFP!BI13)-(SOFP!BJ11+SOFP!BJ12+SOFP!BJ13)</f>
        <v>-1886.586111015924</v>
      </c>
      <c r="BL14" s="3">
        <f>(SOFP!BJ11+SOFP!BJ12+SOFP!BJ13)-(SOFP!BK11+SOFP!BK12+SOFP!BK13)</f>
        <v>1621.8583269633891</v>
      </c>
      <c r="BM14" s="3">
        <f>(SOFP!BK11+SOFP!BK12+SOFP!BK13)-(SOFP!BL11+SOFP!BL12+SOFP!BL13)</f>
        <v>738.41522929779603</v>
      </c>
      <c r="BN14" s="3">
        <f>(SOFP!BL11+SOFP!BL12+SOFP!BL13)-(SOFP!BM11+SOFP!BM12+SOFP!BM13)</f>
        <v>-4423.690609459074</v>
      </c>
      <c r="BO14" s="3">
        <f>(SOFP!BM11+SOFP!BM12+SOFP!BM13)-(SOFP!BN11+SOFP!BN12+SOFP!BN13)</f>
        <v>2079.8381550824124</v>
      </c>
      <c r="BP14" s="3">
        <f>(SOFP!BN11+SOFP!BN12+SOFP!BN13)-(SOFP!BO11+SOFP!BO12+SOFP!BO13)</f>
        <v>1251.2769362223589</v>
      </c>
      <c r="BQ14" s="3">
        <f>(SOFP!BO11+SOFP!BO12+SOFP!BO13)-(SOFP!BP11+SOFP!BP12+SOFP!BP13)</f>
        <v>6171.033818149197</v>
      </c>
      <c r="BR14" s="3">
        <f>(SOFP!BP11+SOFP!BP12+SOFP!BP13)-(SOFP!BQ11+SOFP!BQ12+SOFP!BQ13)</f>
        <v>1294.2646516800014</v>
      </c>
      <c r="BS14" s="3"/>
      <c r="BT14" s="2"/>
    </row>
    <row r="15" spans="1:72" ht="14.5">
      <c r="A15" s="1"/>
      <c r="B15" s="2"/>
      <c r="C15" s="2"/>
      <c r="D15" s="2" t="s">
        <v>12</v>
      </c>
      <c r="E15" s="2"/>
      <c r="F15" s="2"/>
      <c r="G15" s="3">
        <f>0-SOFP!F14</f>
        <v>0</v>
      </c>
      <c r="H15" s="3">
        <f>SOFP!F14-SOFP!G14</f>
        <v>0</v>
      </c>
      <c r="I15" s="3">
        <f>SOFP!G14-SOFP!H14</f>
        <v>0</v>
      </c>
      <c r="J15" s="3">
        <f>SOFP!H14-SOFP!I14</f>
        <v>0</v>
      </c>
      <c r="K15" s="3">
        <f>SOFP!I14-SOFP!J14</f>
        <v>0</v>
      </c>
      <c r="L15" s="3">
        <f>SOFP!J14-SOFP!K14</f>
        <v>0</v>
      </c>
      <c r="M15" s="3">
        <f>SOFP!K14-SOFP!L14</f>
        <v>0</v>
      </c>
      <c r="N15" s="3">
        <f>SOFP!L14-SOFP!M14</f>
        <v>0</v>
      </c>
      <c r="O15" s="3">
        <f>SOFP!M14-SOFP!N14</f>
        <v>0</v>
      </c>
      <c r="P15" s="3">
        <f>SOFP!N14-SOFP!O14</f>
        <v>0</v>
      </c>
      <c r="Q15" s="3">
        <f>SOFP!O14-SOFP!P14</f>
        <v>0</v>
      </c>
      <c r="R15" s="3">
        <f>SOFP!P14-SOFP!Q14</f>
        <v>0</v>
      </c>
      <c r="S15" s="3"/>
      <c r="T15" s="3">
        <f>SOFP!Q14-SOFP!S14</f>
        <v>0</v>
      </c>
      <c r="U15" s="3">
        <f>SOFP!S14-SOFP!T14</f>
        <v>0</v>
      </c>
      <c r="V15" s="3">
        <f>SOFP!T14-SOFP!U14</f>
        <v>0</v>
      </c>
      <c r="W15" s="3">
        <f>SOFP!U14-SOFP!V14</f>
        <v>0</v>
      </c>
      <c r="X15" s="3">
        <f>SOFP!V14-SOFP!W14</f>
        <v>0</v>
      </c>
      <c r="Y15" s="3">
        <f>SOFP!W14-SOFP!X14</f>
        <v>0</v>
      </c>
      <c r="Z15" s="3">
        <f>SOFP!X14-SOFP!Y14</f>
        <v>0</v>
      </c>
      <c r="AA15" s="3">
        <f>SOFP!Y14-SOFP!Z14</f>
        <v>0</v>
      </c>
      <c r="AB15" s="3">
        <f>SOFP!Z14-SOFP!AA14</f>
        <v>0</v>
      </c>
      <c r="AC15" s="3">
        <f>SOFP!AA14-SOFP!AB14</f>
        <v>0</v>
      </c>
      <c r="AD15" s="3">
        <f>SOFP!AB14-SOFP!AC14</f>
        <v>0</v>
      </c>
      <c r="AE15" s="3">
        <f>SOFP!AC14-SOFP!AD14</f>
        <v>0</v>
      </c>
      <c r="AF15" s="3"/>
      <c r="AG15" s="3">
        <f>SOFP!AD14-SOFP!AF14</f>
        <v>0</v>
      </c>
      <c r="AH15" s="3">
        <f>SOFP!AF14-SOFP!AG14</f>
        <v>0</v>
      </c>
      <c r="AI15" s="3">
        <f>SOFP!AG14-SOFP!AH14</f>
        <v>0</v>
      </c>
      <c r="AJ15" s="3">
        <f>SOFP!AH14-SOFP!AI14</f>
        <v>0</v>
      </c>
      <c r="AK15" s="3">
        <f>SOFP!AI14-SOFP!AJ14</f>
        <v>0</v>
      </c>
      <c r="AL15" s="3">
        <f>SOFP!AJ14-SOFP!AK14</f>
        <v>0</v>
      </c>
      <c r="AM15" s="3">
        <f>SOFP!AK14-SOFP!AL14</f>
        <v>0</v>
      </c>
      <c r="AN15" s="3">
        <f>SOFP!AL14-SOFP!AM14</f>
        <v>0</v>
      </c>
      <c r="AO15" s="3">
        <f>SOFP!AM14-SOFP!AN14</f>
        <v>0</v>
      </c>
      <c r="AP15" s="3">
        <f>SOFP!AN14-SOFP!AO14</f>
        <v>0</v>
      </c>
      <c r="AQ15" s="3">
        <f>SOFP!AO14-SOFP!AP14</f>
        <v>0</v>
      </c>
      <c r="AR15" s="3">
        <f>SOFP!AP14-SOFP!AQ14</f>
        <v>0</v>
      </c>
      <c r="AS15" s="3"/>
      <c r="AT15" s="3">
        <f>SOFP!AQ14-SOFP!AS14</f>
        <v>0</v>
      </c>
      <c r="AU15" s="3">
        <f>SOFP!AS14-SOFP!AT14</f>
        <v>0</v>
      </c>
      <c r="AV15" s="3">
        <f>SOFP!AT14-SOFP!AU14</f>
        <v>0</v>
      </c>
      <c r="AW15" s="3">
        <f>SOFP!AU14-SOFP!AV14</f>
        <v>0</v>
      </c>
      <c r="AX15" s="3">
        <f>SOFP!AV14-SOFP!AW14</f>
        <v>0</v>
      </c>
      <c r="AY15" s="3">
        <f>SOFP!AW14-SOFP!AX14</f>
        <v>0</v>
      </c>
      <c r="AZ15" s="3">
        <f>SOFP!AX14-SOFP!AY14</f>
        <v>0</v>
      </c>
      <c r="BA15" s="3">
        <f>SOFP!AY14-SOFP!AZ14</f>
        <v>0</v>
      </c>
      <c r="BB15" s="3">
        <f>SOFP!AZ14-SOFP!BA14</f>
        <v>0</v>
      </c>
      <c r="BC15" s="3">
        <f>SOFP!BA14-SOFP!BB14</f>
        <v>0</v>
      </c>
      <c r="BD15" s="3">
        <f>SOFP!BB14-SOFP!BC14</f>
        <v>0</v>
      </c>
      <c r="BE15" s="3">
        <f>SOFP!BC14-SOFP!BD14</f>
        <v>0</v>
      </c>
      <c r="BF15" s="3"/>
      <c r="BG15" s="3">
        <f>SOFP!BD14-SOFP!BF14</f>
        <v>0</v>
      </c>
      <c r="BH15" s="3">
        <f>SOFP!BF14-SOFP!BG14</f>
        <v>0</v>
      </c>
      <c r="BI15" s="3">
        <f>SOFP!BG14-SOFP!BH14</f>
        <v>0</v>
      </c>
      <c r="BJ15" s="3">
        <f>SOFP!BH14-SOFP!BI14</f>
        <v>0</v>
      </c>
      <c r="BK15" s="3">
        <f>SOFP!BI14-SOFP!BJ14</f>
        <v>0</v>
      </c>
      <c r="BL15" s="3">
        <f>SOFP!BJ14-SOFP!BK14</f>
        <v>0</v>
      </c>
      <c r="BM15" s="3">
        <f>SOFP!BK14-SOFP!BL14</f>
        <v>0</v>
      </c>
      <c r="BN15" s="3">
        <f>SOFP!BL14-SOFP!BM14</f>
        <v>0</v>
      </c>
      <c r="BO15" s="3">
        <f>SOFP!BM14-SOFP!BN14</f>
        <v>0</v>
      </c>
      <c r="BP15" s="3">
        <f>SOFP!BN14-SOFP!BO14</f>
        <v>0</v>
      </c>
      <c r="BQ15" s="3">
        <f>SOFP!BO14-SOFP!BP14</f>
        <v>0</v>
      </c>
      <c r="BR15" s="3">
        <f>SOFP!BP14-SOFP!BQ14</f>
        <v>0</v>
      </c>
      <c r="BS15" s="3"/>
      <c r="BT15" s="2"/>
    </row>
    <row r="16" spans="1:72" ht="14.5">
      <c r="A16" s="1"/>
      <c r="B16" s="2"/>
      <c r="C16" s="2"/>
      <c r="D16" s="2" t="s">
        <v>15</v>
      </c>
      <c r="E16" s="2"/>
      <c r="F16" s="2"/>
      <c r="G16" s="3">
        <f>0-SOFP!F19</f>
        <v>0</v>
      </c>
      <c r="H16" s="3">
        <f>SOFP!F19-SOFP!G19</f>
        <v>0</v>
      </c>
      <c r="I16" s="3">
        <f>SOFP!G19-SOFP!H19</f>
        <v>0</v>
      </c>
      <c r="J16" s="3">
        <f>SOFP!H19-SOFP!I19</f>
        <v>0</v>
      </c>
      <c r="K16" s="3">
        <f>SOFP!I19-SOFP!J19</f>
        <v>0</v>
      </c>
      <c r="L16" s="3">
        <f>SOFP!J19-SOFP!K19</f>
        <v>0</v>
      </c>
      <c r="M16" s="3">
        <f>SOFP!K19-SOFP!L19</f>
        <v>0</v>
      </c>
      <c r="N16" s="3">
        <f>SOFP!L19-SOFP!M19</f>
        <v>0</v>
      </c>
      <c r="O16" s="3">
        <f>SOFP!M19-SOFP!N19</f>
        <v>0</v>
      </c>
      <c r="P16" s="3">
        <f>SOFP!N19-SOFP!O19</f>
        <v>0</v>
      </c>
      <c r="Q16" s="3">
        <f>SOFP!O19-SOFP!P19</f>
        <v>0</v>
      </c>
      <c r="R16" s="3">
        <f>SOFP!P19-SOFP!Q19</f>
        <v>0</v>
      </c>
      <c r="S16" s="3"/>
      <c r="T16" s="3">
        <f>SOFP!Q19-SOFP!S19</f>
        <v>0</v>
      </c>
      <c r="U16" s="3">
        <f>SOFP!S19-SOFP!T19</f>
        <v>0</v>
      </c>
      <c r="V16" s="3">
        <f>SOFP!T19-SOFP!U19</f>
        <v>0</v>
      </c>
      <c r="W16" s="3">
        <f>SOFP!U19-SOFP!V19</f>
        <v>0</v>
      </c>
      <c r="X16" s="3">
        <f>SOFP!V19-SOFP!W19</f>
        <v>0</v>
      </c>
      <c r="Y16" s="3">
        <f>SOFP!W19-SOFP!X19</f>
        <v>0</v>
      </c>
      <c r="Z16" s="3">
        <f>SOFP!X19-SOFP!Y19</f>
        <v>0</v>
      </c>
      <c r="AA16" s="3">
        <f>SOFP!Y19-SOFP!Z19</f>
        <v>0</v>
      </c>
      <c r="AB16" s="3">
        <f>SOFP!Z19-SOFP!AA19</f>
        <v>0</v>
      </c>
      <c r="AC16" s="3">
        <f>SOFP!AA19-SOFP!AB19</f>
        <v>0</v>
      </c>
      <c r="AD16" s="3">
        <f>SOFP!AB19-SOFP!AC19</f>
        <v>0</v>
      </c>
      <c r="AE16" s="3">
        <f>SOFP!AC19-SOFP!AD19</f>
        <v>0</v>
      </c>
      <c r="AF16" s="3"/>
      <c r="AG16" s="3">
        <f>SOFP!AD19-SOFP!AF19</f>
        <v>0</v>
      </c>
      <c r="AH16" s="3">
        <f>SOFP!AF19-SOFP!AG19</f>
        <v>0</v>
      </c>
      <c r="AI16" s="3">
        <f>SOFP!AG19-SOFP!AH19</f>
        <v>0</v>
      </c>
      <c r="AJ16" s="3">
        <f>SOFP!AH19-SOFP!AI19</f>
        <v>0</v>
      </c>
      <c r="AK16" s="3">
        <f>SOFP!AI19-SOFP!AJ19</f>
        <v>0</v>
      </c>
      <c r="AL16" s="3">
        <f>SOFP!AJ19-SOFP!AK19</f>
        <v>0</v>
      </c>
      <c r="AM16" s="3">
        <f>SOFP!AK19-SOFP!AL19</f>
        <v>0</v>
      </c>
      <c r="AN16" s="3">
        <f>SOFP!AL19-SOFP!AM19</f>
        <v>0</v>
      </c>
      <c r="AO16" s="3">
        <f>SOFP!AM19-SOFP!AN19</f>
        <v>0</v>
      </c>
      <c r="AP16" s="3">
        <f>SOFP!AN19-SOFP!AO19</f>
        <v>0</v>
      </c>
      <c r="AQ16" s="3">
        <f>SOFP!AO19-SOFP!AP19</f>
        <v>0</v>
      </c>
      <c r="AR16" s="3">
        <f>SOFP!AP19-SOFP!AQ19</f>
        <v>0</v>
      </c>
      <c r="AS16" s="3"/>
      <c r="AT16" s="3">
        <f>SOFP!AQ19-SOFP!AS19</f>
        <v>0</v>
      </c>
      <c r="AU16" s="3">
        <f>SOFP!AS19-SOFP!AT19</f>
        <v>0</v>
      </c>
      <c r="AV16" s="3">
        <f>SOFP!AT19-SOFP!AU19</f>
        <v>0</v>
      </c>
      <c r="AW16" s="3">
        <f>SOFP!AU19-SOFP!AV19</f>
        <v>0</v>
      </c>
      <c r="AX16" s="3">
        <f>SOFP!AV19-SOFP!AW19</f>
        <v>0</v>
      </c>
      <c r="AY16" s="3">
        <f>SOFP!AW19-SOFP!AX19</f>
        <v>0</v>
      </c>
      <c r="AZ16" s="3">
        <f>SOFP!AX19-SOFP!AY19</f>
        <v>0</v>
      </c>
      <c r="BA16" s="3">
        <f>SOFP!AY19-SOFP!AZ19</f>
        <v>0</v>
      </c>
      <c r="BB16" s="3">
        <f>SOFP!AZ19-SOFP!BA19</f>
        <v>0</v>
      </c>
      <c r="BC16" s="3">
        <f>SOFP!BA19-SOFP!BB19</f>
        <v>0</v>
      </c>
      <c r="BD16" s="3">
        <f>SOFP!BB19-SOFP!BC19</f>
        <v>0</v>
      </c>
      <c r="BE16" s="3">
        <f>SOFP!BC19-SOFP!BD19</f>
        <v>0</v>
      </c>
      <c r="BF16" s="3"/>
      <c r="BG16" s="3">
        <f>SOFP!BD19-SOFP!BF19</f>
        <v>0</v>
      </c>
      <c r="BH16" s="3">
        <f>SOFP!BF19-SOFP!BG19</f>
        <v>0</v>
      </c>
      <c r="BI16" s="3">
        <f>SOFP!BG19-SOFP!BH19</f>
        <v>0</v>
      </c>
      <c r="BJ16" s="3">
        <f>SOFP!BH19-SOFP!BI19</f>
        <v>0</v>
      </c>
      <c r="BK16" s="3">
        <f>SOFP!BI19-SOFP!BJ19</f>
        <v>0</v>
      </c>
      <c r="BL16" s="3">
        <f>SOFP!BJ19-SOFP!BK19</f>
        <v>0</v>
      </c>
      <c r="BM16" s="3">
        <f>SOFP!BK19-SOFP!BL19</f>
        <v>0</v>
      </c>
      <c r="BN16" s="3">
        <f>SOFP!BL19-SOFP!BM19</f>
        <v>0</v>
      </c>
      <c r="BO16" s="3">
        <f>SOFP!BM19-SOFP!BN19</f>
        <v>0</v>
      </c>
      <c r="BP16" s="3">
        <f>SOFP!BN19-SOFP!BO19</f>
        <v>0</v>
      </c>
      <c r="BQ16" s="3">
        <f>SOFP!BO19-SOFP!BP19</f>
        <v>0</v>
      </c>
      <c r="BR16" s="3">
        <f>SOFP!BP19-SOFP!BQ19</f>
        <v>0</v>
      </c>
      <c r="BS16" s="3"/>
      <c r="BT16" s="2"/>
    </row>
    <row r="17" spans="1:72" ht="14.5">
      <c r="A17" s="1"/>
      <c r="B17" s="2"/>
      <c r="C17" s="2"/>
      <c r="D17" s="2" t="s">
        <v>81</v>
      </c>
      <c r="E17" s="2"/>
      <c r="F17" s="2"/>
      <c r="G17" s="3">
        <f>SOFP!F25-0</f>
        <v>41491.282981364988</v>
      </c>
      <c r="H17" s="3">
        <f>SOFP!G25-SOFP!F25</f>
        <v>30059.68048303065</v>
      </c>
      <c r="I17" s="3">
        <f>SOFP!H25-SOFP!G25</f>
        <v>-7066.2161303197572</v>
      </c>
      <c r="J17" s="3">
        <f>SOFP!I25-SOFP!H25</f>
        <v>6619.335324889289</v>
      </c>
      <c r="K17" s="3">
        <f>SOFP!J25-SOFP!I25</f>
        <v>3799.4657283741981</v>
      </c>
      <c r="L17" s="3">
        <f>SOFP!K25-SOFP!J25</f>
        <v>175.11499394962448</v>
      </c>
      <c r="M17" s="3">
        <f>SOFP!L25-SOFP!K25</f>
        <v>-2034.747337452005</v>
      </c>
      <c r="N17" s="3">
        <f>SOFP!M25-SOFP!L25</f>
        <v>2855.2912515828357</v>
      </c>
      <c r="O17" s="3">
        <f>SOFP!N25-SOFP!M25</f>
        <v>2073.4626055795961</v>
      </c>
      <c r="P17" s="3">
        <f>SOFP!O25-SOFP!N25</f>
        <v>-2324.868510987304</v>
      </c>
      <c r="Q17" s="3">
        <f>SOFP!P25-SOFP!O25</f>
        <v>-5978.9737550284481</v>
      </c>
      <c r="R17" s="3">
        <f>SOFP!Q25-SOFP!P25</f>
        <v>-6200.866069996744</v>
      </c>
      <c r="S17" s="3"/>
      <c r="T17" s="3">
        <f>SOFP!S25-SOFP!Q25</f>
        <v>-1509.0502264730821</v>
      </c>
      <c r="U17" s="3">
        <f>SOFP!T25-SOFP!S25</f>
        <v>1260.9504879325468</v>
      </c>
      <c r="V17" s="3">
        <f>SOFP!U25-SOFP!T25</f>
        <v>6697.8971054704889</v>
      </c>
      <c r="W17" s="3">
        <f>SOFP!V25-SOFP!U25</f>
        <v>7612.2356236226915</v>
      </c>
      <c r="X17" s="3">
        <f>SOFP!W25-SOFP!V25</f>
        <v>4357.1499054946617</v>
      </c>
      <c r="Y17" s="3">
        <f>SOFP!X25-SOFP!W25</f>
        <v>212.72985147433064</v>
      </c>
      <c r="Z17" s="3">
        <f>SOFP!Y25-SOFP!X25</f>
        <v>-2327.1317067985365</v>
      </c>
      <c r="AA17" s="3">
        <f>SOFP!Z25-SOFP!Y25</f>
        <v>3280.5260187863605</v>
      </c>
      <c r="AB17" s="3">
        <f>SOFP!AA25-SOFP!Z25</f>
        <v>2363.7602766706405</v>
      </c>
      <c r="AC17" s="3">
        <f>SOFP!AB25-SOFP!AA25</f>
        <v>-2698.0701519067225</v>
      </c>
      <c r="AD17" s="3">
        <f>SOFP!AC25-SOFP!AB25</f>
        <v>-6981.5219027556013</v>
      </c>
      <c r="AE17" s="3">
        <f>SOFP!AD25-SOFP!AC25</f>
        <v>-7242.2556693377992</v>
      </c>
      <c r="AF17" s="3"/>
      <c r="AG17" s="3">
        <f>SOFP!AF25-SOFP!AD25</f>
        <v>-1880.611020474098</v>
      </c>
      <c r="AH17" s="3">
        <f>SOFP!AG25-SOFP!AF25</f>
        <v>1290.1402693435521</v>
      </c>
      <c r="AI17" s="3">
        <f>SOFP!AH25-SOFP!AG25</f>
        <v>7631.7828356239188</v>
      </c>
      <c r="AJ17" s="3">
        <f>SOFP!AI25-SOFP!AH25</f>
        <v>8695.0391534243536</v>
      </c>
      <c r="AK17" s="3">
        <f>SOFP!AJ25-SOFP!AI25</f>
        <v>4988.2891272421257</v>
      </c>
      <c r="AL17" s="3">
        <f>SOFP!AK25-SOFP!AJ25</f>
        <v>230.63093342562206</v>
      </c>
      <c r="AM17" s="3">
        <f>SOFP!AL25-SOFP!AK25</f>
        <v>-2669.952187063871</v>
      </c>
      <c r="AN17" s="3">
        <f>SOFP!AM25-SOFP!AL25</f>
        <v>3751.3444743306318</v>
      </c>
      <c r="AO17" s="3">
        <f>SOFP!AN25-SOFP!AM25</f>
        <v>2719.042526066085</v>
      </c>
      <c r="AP17" s="3">
        <f>SOFP!AO25-SOFP!AN25</f>
        <v>-3057.4655830688571</v>
      </c>
      <c r="AQ17" s="3">
        <f>SOFP!AP25-SOFP!AO25</f>
        <v>-8068.7202295334282</v>
      </c>
      <c r="AR17" s="3">
        <f>SOFP!AQ25-SOFP!AP25</f>
        <v>-8497.9615313896211</v>
      </c>
      <c r="AS17" s="3"/>
      <c r="AT17" s="3">
        <f>SOFP!AS25-SOFP!AQ25</f>
        <v>-3442.8478816195711</v>
      </c>
      <c r="AU17" s="3">
        <f>SOFP!AT25-SOFP!AS25</f>
        <v>142.86014305212302</v>
      </c>
      <c r="AV17" s="3">
        <f>SOFP!AU25-SOFP!AT25</f>
        <v>8035.42670880488</v>
      </c>
      <c r="AW17" s="3">
        <f>SOFP!AV25-SOFP!AU25</f>
        <v>9129.7911110955611</v>
      </c>
      <c r="AX17" s="3">
        <f>SOFP!AW25-SOFP!AV25</f>
        <v>5223.0004293377278</v>
      </c>
      <c r="AY17" s="3">
        <f>SOFP!AX25-SOFP!AW25</f>
        <v>255.79846994082618</v>
      </c>
      <c r="AZ17" s="3">
        <f>SOFP!AY25-SOFP!AX25</f>
        <v>-2788.0351992021751</v>
      </c>
      <c r="BA17" s="3">
        <f>SOFP!AZ25-SOFP!AY25</f>
        <v>3935.2359094805433</v>
      </c>
      <c r="BB17" s="3">
        <f>SOFP!BA25-SOFP!AZ25</f>
        <v>2830.0941491761187</v>
      </c>
      <c r="BC17" s="3">
        <f>SOFP!BB25-SOFP!BA25</f>
        <v>-3239.7451707553118</v>
      </c>
      <c r="BD17" s="3">
        <f>SOFP!BC25-SOFP!BB25</f>
        <v>-8488.9448717059568</v>
      </c>
      <c r="BE17" s="3">
        <f>SOFP!BD25-SOFP!BC25</f>
        <v>-8876.0524015345436</v>
      </c>
      <c r="BF17" s="3"/>
      <c r="BG17" s="3">
        <f>SOFP!BF25-SOFP!BD25</f>
        <v>-3062.2741171168018</v>
      </c>
      <c r="BH17" s="3">
        <f>SOFP!BG25-SOFP!BF25</f>
        <v>711.79086186217319</v>
      </c>
      <c r="BI17" s="3">
        <f>SOFP!BH25-SOFP!BG25</f>
        <v>8740.019621685773</v>
      </c>
      <c r="BJ17" s="3">
        <f>SOFP!BI25-SOFP!BH25</f>
        <v>9955.0042573163664</v>
      </c>
      <c r="BK17" s="3">
        <f>SOFP!BJ25-SOFP!BI25</f>
        <v>5708.2178200562194</v>
      </c>
      <c r="BL17" s="3">
        <f>SOFP!BK25-SOFP!BJ25</f>
        <v>264.72778405253484</v>
      </c>
      <c r="BM17" s="3">
        <f>SOFP!BL25-SOFP!BK25</f>
        <v>-3053.6796531459258</v>
      </c>
      <c r="BN17" s="3">
        <f>SOFP!BM25-SOFP!BL25</f>
        <v>4295.6915192076267</v>
      </c>
      <c r="BO17" s="3">
        <f>SOFP!BN25-SOFP!BM25</f>
        <v>3107.9264773203322</v>
      </c>
      <c r="BP17" s="3">
        <f>SOFP!BO25-SOFP!BN25</f>
        <v>-3504.466615525962</v>
      </c>
      <c r="BQ17" s="3">
        <f>SOFP!BP25-SOFP!BO25</f>
        <v>-8607.0200164344278</v>
      </c>
      <c r="BR17" s="3">
        <f>SOFP!BQ25-SOFP!BP25</f>
        <v>-8852.1106635986798</v>
      </c>
      <c r="BS17" s="3"/>
      <c r="BT17" s="2"/>
    </row>
    <row r="18" spans="1:72" ht="14.5">
      <c r="A18" s="1"/>
      <c r="B18" s="2"/>
      <c r="C18" s="2"/>
      <c r="D18" s="2" t="s">
        <v>20</v>
      </c>
      <c r="E18" s="2"/>
      <c r="F18" s="2"/>
      <c r="G18" s="3">
        <f>SOFP!F26-0</f>
        <v>0</v>
      </c>
      <c r="H18" s="3">
        <f>SOFP!G26-SOFP!F26</f>
        <v>0</v>
      </c>
      <c r="I18" s="3">
        <f>SOFP!H26-SOFP!G26</f>
        <v>0</v>
      </c>
      <c r="J18" s="3">
        <f>SOFP!I26-SOFP!H26</f>
        <v>0</v>
      </c>
      <c r="K18" s="3">
        <f>SOFP!J26-SOFP!I26</f>
        <v>0</v>
      </c>
      <c r="L18" s="3">
        <f>SOFP!K26-SOFP!J26</f>
        <v>0</v>
      </c>
      <c r="M18" s="3">
        <f>SOFP!L26-SOFP!K26</f>
        <v>0</v>
      </c>
      <c r="N18" s="3">
        <f>SOFP!M26-SOFP!L26</f>
        <v>0</v>
      </c>
      <c r="O18" s="3">
        <f>SOFP!N26-SOFP!M26</f>
        <v>0</v>
      </c>
      <c r="P18" s="3">
        <f>SOFP!O26-SOFP!N26</f>
        <v>0</v>
      </c>
      <c r="Q18" s="3">
        <f>SOFP!P26-SOFP!O26</f>
        <v>0</v>
      </c>
      <c r="R18" s="3">
        <f>SOFP!Q26-SOFP!P26</f>
        <v>0</v>
      </c>
      <c r="S18" s="3"/>
      <c r="T18" s="3">
        <f>SOFP!S26-SOFP!Q26</f>
        <v>0</v>
      </c>
      <c r="U18" s="3">
        <f>SOFP!T26-SOFP!S26</f>
        <v>0</v>
      </c>
      <c r="V18" s="3">
        <f>SOFP!U26-SOFP!T26</f>
        <v>0</v>
      </c>
      <c r="W18" s="3">
        <f>SOFP!V26-SOFP!U26</f>
        <v>0</v>
      </c>
      <c r="X18" s="3">
        <f>SOFP!W26-SOFP!V26</f>
        <v>0</v>
      </c>
      <c r="Y18" s="3">
        <f>SOFP!X26-SOFP!W26</f>
        <v>0</v>
      </c>
      <c r="Z18" s="3">
        <f>SOFP!Y26-SOFP!X26</f>
        <v>0</v>
      </c>
      <c r="AA18" s="3">
        <f>SOFP!Z26-SOFP!Y26</f>
        <v>0</v>
      </c>
      <c r="AB18" s="3">
        <f>SOFP!AA26-SOFP!Z26</f>
        <v>0</v>
      </c>
      <c r="AC18" s="3">
        <f>SOFP!AB26-SOFP!AA26</f>
        <v>0</v>
      </c>
      <c r="AD18" s="3">
        <f>SOFP!AC26-SOFP!AB26</f>
        <v>0</v>
      </c>
      <c r="AE18" s="3">
        <f>SOFP!AD26-SOFP!AC26</f>
        <v>0</v>
      </c>
      <c r="AF18" s="3"/>
      <c r="AG18" s="3">
        <f>SOFP!AF26-SOFP!AD26</f>
        <v>0</v>
      </c>
      <c r="AH18" s="3">
        <f>SOFP!AG26-SOFP!AF26</f>
        <v>0</v>
      </c>
      <c r="AI18" s="3">
        <f>SOFP!AH26-SOFP!AG26</f>
        <v>0</v>
      </c>
      <c r="AJ18" s="3">
        <f>SOFP!AI26-SOFP!AH26</f>
        <v>0</v>
      </c>
      <c r="AK18" s="3">
        <f>SOFP!AJ26-SOFP!AI26</f>
        <v>0</v>
      </c>
      <c r="AL18" s="3">
        <f>SOFP!AK26-SOFP!AJ26</f>
        <v>0</v>
      </c>
      <c r="AM18" s="3">
        <f>SOFP!AL26-SOFP!AK26</f>
        <v>0</v>
      </c>
      <c r="AN18" s="3">
        <f>SOFP!AM26-SOFP!AL26</f>
        <v>0</v>
      </c>
      <c r="AO18" s="3">
        <f>SOFP!AN26-SOFP!AM26</f>
        <v>0</v>
      </c>
      <c r="AP18" s="3">
        <f>SOFP!AO26-SOFP!AN26</f>
        <v>0</v>
      </c>
      <c r="AQ18" s="3">
        <f>SOFP!AP26-SOFP!AO26</f>
        <v>0</v>
      </c>
      <c r="AR18" s="3">
        <f>SOFP!AQ26-SOFP!AP26</f>
        <v>0</v>
      </c>
      <c r="AS18" s="3"/>
      <c r="AT18" s="3">
        <f>SOFP!AS26-SOFP!AQ26</f>
        <v>0</v>
      </c>
      <c r="AU18" s="3">
        <f>SOFP!AT26-SOFP!AS26</f>
        <v>0</v>
      </c>
      <c r="AV18" s="3">
        <f>SOFP!AU26-SOFP!AT26</f>
        <v>0</v>
      </c>
      <c r="AW18" s="3">
        <f>SOFP!AV26-SOFP!AU26</f>
        <v>0</v>
      </c>
      <c r="AX18" s="3">
        <f>SOFP!AW26-SOFP!AV26</f>
        <v>0</v>
      </c>
      <c r="AY18" s="3">
        <f>SOFP!AX26-SOFP!AW26</f>
        <v>0</v>
      </c>
      <c r="AZ18" s="3">
        <f>SOFP!AY26-SOFP!AX26</f>
        <v>0</v>
      </c>
      <c r="BA18" s="3">
        <f>SOFP!AZ26-SOFP!AY26</f>
        <v>0</v>
      </c>
      <c r="BB18" s="3">
        <f>SOFP!BA26-SOFP!AZ26</f>
        <v>0</v>
      </c>
      <c r="BC18" s="3">
        <f>SOFP!BB26-SOFP!BA26</f>
        <v>0</v>
      </c>
      <c r="BD18" s="3">
        <f>SOFP!BC26-SOFP!BB26</f>
        <v>0</v>
      </c>
      <c r="BE18" s="3">
        <f>SOFP!BD26-SOFP!BC26</f>
        <v>0</v>
      </c>
      <c r="BF18" s="3"/>
      <c r="BG18" s="3">
        <f>SOFP!BF26-SOFP!BD26</f>
        <v>0</v>
      </c>
      <c r="BH18" s="3">
        <f>SOFP!BG26-SOFP!BF26</f>
        <v>0</v>
      </c>
      <c r="BI18" s="3">
        <f>SOFP!BH26-SOFP!BG26</f>
        <v>0</v>
      </c>
      <c r="BJ18" s="3">
        <f>SOFP!BI26-SOFP!BH26</f>
        <v>0</v>
      </c>
      <c r="BK18" s="3">
        <f>SOFP!BJ26-SOFP!BI26</f>
        <v>0</v>
      </c>
      <c r="BL18" s="3">
        <f>SOFP!BK26-SOFP!BJ26</f>
        <v>0</v>
      </c>
      <c r="BM18" s="3">
        <f>SOFP!BL26-SOFP!BK26</f>
        <v>0</v>
      </c>
      <c r="BN18" s="3">
        <f>SOFP!BM26-SOFP!BL26</f>
        <v>0</v>
      </c>
      <c r="BO18" s="3">
        <f>SOFP!BN26-SOFP!BM26</f>
        <v>0</v>
      </c>
      <c r="BP18" s="3">
        <f>SOFP!BO26-SOFP!BN26</f>
        <v>0</v>
      </c>
      <c r="BQ18" s="3">
        <f>SOFP!BP26-SOFP!BO26</f>
        <v>0</v>
      </c>
      <c r="BR18" s="3">
        <f>SOFP!BQ26-SOFP!BP26</f>
        <v>0</v>
      </c>
      <c r="BS18" s="3"/>
      <c r="BT18" s="2"/>
    </row>
    <row r="19" spans="1:72" ht="14.5">
      <c r="A19" s="1"/>
      <c r="B19" s="2"/>
      <c r="C19" s="2"/>
      <c r="D19" s="2" t="s">
        <v>21</v>
      </c>
      <c r="E19" s="2"/>
      <c r="F19" s="2"/>
      <c r="G19" s="3">
        <f>SOFP!F27-0</f>
        <v>0</v>
      </c>
      <c r="H19" s="3">
        <f>SOFP!G27-SOFP!F27</f>
        <v>0</v>
      </c>
      <c r="I19" s="3">
        <f>SOFP!H27-SOFP!G27</f>
        <v>0</v>
      </c>
      <c r="J19" s="3">
        <f>SOFP!I27-SOFP!H27</f>
        <v>0</v>
      </c>
      <c r="K19" s="3">
        <f>SOFP!J27-SOFP!I27</f>
        <v>0</v>
      </c>
      <c r="L19" s="3">
        <f>SOFP!K27-SOFP!J27</f>
        <v>0</v>
      </c>
      <c r="M19" s="3">
        <f>SOFP!L27-SOFP!K27</f>
        <v>0</v>
      </c>
      <c r="N19" s="3">
        <f>SOFP!M27-SOFP!L27</f>
        <v>0</v>
      </c>
      <c r="O19" s="3">
        <f>SOFP!N27-SOFP!M27</f>
        <v>0</v>
      </c>
      <c r="P19" s="3">
        <f>SOFP!O27-SOFP!N27</f>
        <v>0</v>
      </c>
      <c r="Q19" s="3">
        <f>SOFP!P27-SOFP!O27</f>
        <v>0</v>
      </c>
      <c r="R19" s="3">
        <f>SOFP!Q27-SOFP!P27</f>
        <v>0</v>
      </c>
      <c r="S19" s="3"/>
      <c r="T19" s="3">
        <f>SOFP!S27-SOFP!Q27</f>
        <v>0</v>
      </c>
      <c r="U19" s="3">
        <f>SOFP!T27-SOFP!S27</f>
        <v>0</v>
      </c>
      <c r="V19" s="3">
        <f>SOFP!U27-SOFP!T27</f>
        <v>0</v>
      </c>
      <c r="W19" s="3">
        <f>SOFP!V27-SOFP!U27</f>
        <v>0</v>
      </c>
      <c r="X19" s="3">
        <f>SOFP!W27-SOFP!V27</f>
        <v>0</v>
      </c>
      <c r="Y19" s="3">
        <f>SOFP!X27-SOFP!W27</f>
        <v>0</v>
      </c>
      <c r="Z19" s="3">
        <f>SOFP!Y27-SOFP!X27</f>
        <v>0</v>
      </c>
      <c r="AA19" s="3">
        <f>SOFP!Z27-SOFP!Y27</f>
        <v>0</v>
      </c>
      <c r="AB19" s="3">
        <f>SOFP!AA27-SOFP!Z27</f>
        <v>0</v>
      </c>
      <c r="AC19" s="3">
        <f>SOFP!AB27-SOFP!AA27</f>
        <v>0</v>
      </c>
      <c r="AD19" s="3">
        <f>SOFP!AC27-SOFP!AB27</f>
        <v>0</v>
      </c>
      <c r="AE19" s="3">
        <f>SOFP!AD27-SOFP!AC27</f>
        <v>0</v>
      </c>
      <c r="AF19" s="3"/>
      <c r="AG19" s="3">
        <f>SOFP!AF27-SOFP!AD27</f>
        <v>0</v>
      </c>
      <c r="AH19" s="3">
        <f>SOFP!AG27-SOFP!AF27</f>
        <v>0</v>
      </c>
      <c r="AI19" s="3">
        <f>SOFP!AH27-SOFP!AG27</f>
        <v>0</v>
      </c>
      <c r="AJ19" s="3">
        <f>SOFP!AI27-SOFP!AH27</f>
        <v>0</v>
      </c>
      <c r="AK19" s="3">
        <f>SOFP!AJ27-SOFP!AI27</f>
        <v>0</v>
      </c>
      <c r="AL19" s="3">
        <f>SOFP!AK27-SOFP!AJ27</f>
        <v>0</v>
      </c>
      <c r="AM19" s="3">
        <f>SOFP!AL27-SOFP!AK27</f>
        <v>0</v>
      </c>
      <c r="AN19" s="3">
        <f>SOFP!AM27-SOFP!AL27</f>
        <v>0</v>
      </c>
      <c r="AO19" s="3">
        <f>SOFP!AN27-SOFP!AM27</f>
        <v>0</v>
      </c>
      <c r="AP19" s="3">
        <f>SOFP!AO27-SOFP!AN27</f>
        <v>0</v>
      </c>
      <c r="AQ19" s="3">
        <f>SOFP!AP27-SOFP!AO27</f>
        <v>0</v>
      </c>
      <c r="AR19" s="3">
        <f>SOFP!AQ27-SOFP!AP27</f>
        <v>0</v>
      </c>
      <c r="AS19" s="3"/>
      <c r="AT19" s="3">
        <f>SOFP!AS27-SOFP!AQ27</f>
        <v>0</v>
      </c>
      <c r="AU19" s="3">
        <f>SOFP!AT27-SOFP!AS27</f>
        <v>0</v>
      </c>
      <c r="AV19" s="3">
        <f>SOFP!AU27-SOFP!AT27</f>
        <v>0</v>
      </c>
      <c r="AW19" s="3">
        <f>SOFP!AV27-SOFP!AU27</f>
        <v>0</v>
      </c>
      <c r="AX19" s="3">
        <f>SOFP!AW27-SOFP!AV27</f>
        <v>0</v>
      </c>
      <c r="AY19" s="3">
        <f>SOFP!AX27-SOFP!AW27</f>
        <v>0</v>
      </c>
      <c r="AZ19" s="3">
        <f>SOFP!AY27-SOFP!AX27</f>
        <v>0</v>
      </c>
      <c r="BA19" s="3">
        <f>SOFP!AZ27-SOFP!AY27</f>
        <v>0</v>
      </c>
      <c r="BB19" s="3">
        <f>SOFP!BA27-SOFP!AZ27</f>
        <v>0</v>
      </c>
      <c r="BC19" s="3">
        <f>SOFP!BB27-SOFP!BA27</f>
        <v>0</v>
      </c>
      <c r="BD19" s="3">
        <f>SOFP!BC27-SOFP!BB27</f>
        <v>0</v>
      </c>
      <c r="BE19" s="3">
        <f>SOFP!BD27-SOFP!BC27</f>
        <v>0</v>
      </c>
      <c r="BF19" s="3"/>
      <c r="BG19" s="3">
        <f>SOFP!BF27-SOFP!BD27</f>
        <v>0</v>
      </c>
      <c r="BH19" s="3">
        <f>SOFP!BG27-SOFP!BF27</f>
        <v>0</v>
      </c>
      <c r="BI19" s="3">
        <f>SOFP!BH27-SOFP!BG27</f>
        <v>0</v>
      </c>
      <c r="BJ19" s="3">
        <f>SOFP!BI27-SOFP!BH27</f>
        <v>0</v>
      </c>
      <c r="BK19" s="3">
        <f>SOFP!BJ27-SOFP!BI27</f>
        <v>0</v>
      </c>
      <c r="BL19" s="3">
        <f>SOFP!BK27-SOFP!BJ27</f>
        <v>0</v>
      </c>
      <c r="BM19" s="3">
        <f>SOFP!BL27-SOFP!BK27</f>
        <v>0</v>
      </c>
      <c r="BN19" s="3">
        <f>SOFP!BM27-SOFP!BL27</f>
        <v>0</v>
      </c>
      <c r="BO19" s="3">
        <f>SOFP!BN27-SOFP!BM27</f>
        <v>0</v>
      </c>
      <c r="BP19" s="3">
        <f>SOFP!BO27-SOFP!BN27</f>
        <v>0</v>
      </c>
      <c r="BQ19" s="3">
        <f>SOFP!BP27-SOFP!BO27</f>
        <v>0</v>
      </c>
      <c r="BR19" s="3">
        <f>SOFP!BQ27-SOFP!BP27</f>
        <v>0</v>
      </c>
      <c r="BS19" s="3"/>
      <c r="BT19" s="2"/>
    </row>
    <row r="20" spans="1:72" ht="14.5">
      <c r="A20" s="1"/>
      <c r="B20" s="2"/>
      <c r="C20" s="2"/>
      <c r="D20" s="2" t="s">
        <v>22</v>
      </c>
      <c r="E20" s="2"/>
      <c r="F20" s="2"/>
      <c r="G20" s="3">
        <f>SOFP!F28-0</f>
        <v>3292.4638283981712</v>
      </c>
      <c r="H20" s="3">
        <f>SOFP!G28-SOFP!F28</f>
        <v>3519.8716038480561</v>
      </c>
      <c r="I20" s="3">
        <f>SOFP!H28-SOFP!G28</f>
        <v>4938.6957425972578</v>
      </c>
      <c r="J20" s="3">
        <f>SOFP!I28-SOFP!H28</f>
        <v>-5898.4681728467285</v>
      </c>
      <c r="K20" s="3">
        <f>SOFP!J28-SOFP!I28</f>
        <v>6584.9276567963434</v>
      </c>
      <c r="L20" s="3">
        <f>SOFP!K28-SOFP!J28</f>
        <v>5852.5630019967575</v>
      </c>
      <c r="M20" s="3">
        <f>SOFP!L28-SOFP!K28</f>
        <v>-12802.613946792906</v>
      </c>
      <c r="N20" s="3">
        <f>SOFP!M28-SOFP!L28</f>
        <v>6859.2996424961902</v>
      </c>
      <c r="O20" s="3">
        <f>SOFP!N28-SOFP!M28</f>
        <v>6650.6397749963126</v>
      </c>
      <c r="P20" s="3">
        <f>SOFP!O28-SOFP!N28</f>
        <v>-12412.451474693113</v>
      </c>
      <c r="Q20" s="3">
        <f>SOFP!P28-SOFP!O28</f>
        <v>4788.4606379973466</v>
      </c>
      <c r="R20" s="3">
        <f>SOFP!Q28-SOFP!P28</f>
        <v>4389.9517711975641</v>
      </c>
      <c r="S20" s="3"/>
      <c r="T20" s="3">
        <f>SOFP!S28-SOFP!Q28</f>
        <v>-12001.647234577287</v>
      </c>
      <c r="U20" s="3">
        <f>SOFP!T28-SOFP!S28</f>
        <v>3999.3266527532874</v>
      </c>
      <c r="V20" s="3">
        <f>SOFP!U28-SOFP!T28</f>
        <v>5642.5392471209489</v>
      </c>
      <c r="W20" s="3">
        <f>SOFP!V28-SOFP!U28</f>
        <v>-6729.587578779554</v>
      </c>
      <c r="X20" s="3">
        <f>SOFP!W28-SOFP!V28</f>
        <v>7523.38566282793</v>
      </c>
      <c r="Y20" s="3">
        <f>SOFP!X28-SOFP!W28</f>
        <v>6673.9711525086459</v>
      </c>
      <c r="Z20" s="3">
        <f>SOFP!Y28-SOFP!X28</f>
        <v>-14601.839915488614</v>
      </c>
      <c r="AA20" s="3">
        <f>SOFP!Z28-SOFP!Y28</f>
        <v>7836.8600654457596</v>
      </c>
      <c r="AB20" s="3">
        <f>SOFP!AA28-SOFP!Z28</f>
        <v>7584.0581278507343</v>
      </c>
      <c r="AC20" s="3">
        <f>SOFP!AB28-SOFP!AA28</f>
        <v>-14167.020582825171</v>
      </c>
      <c r="AD20" s="3">
        <f>SOFP!AC28-SOFP!AB28</f>
        <v>5460.5218520525314</v>
      </c>
      <c r="AE20" s="3">
        <f>SOFP!AD28-SOFP!AC28</f>
        <v>5015.5904418852879</v>
      </c>
      <c r="AF20" s="3"/>
      <c r="AG20" s="3">
        <f>SOFP!AF28-SOFP!AD28</f>
        <v>-13696.436293140076</v>
      </c>
      <c r="AH20" s="3">
        <f>SOFP!AG28-SOFP!AF28</f>
        <v>4574.8948601181573</v>
      </c>
      <c r="AI20" s="3">
        <f>SOFP!AH28-SOFP!AG28</f>
        <v>6454.5924954385173</v>
      </c>
      <c r="AJ20" s="3">
        <f>SOFP!AI28-SOFP!AH28</f>
        <v>-7698.0847772658262</v>
      </c>
      <c r="AK20" s="3">
        <f>SOFP!AJ28-SOFP!AI28</f>
        <v>8606.1233272513491</v>
      </c>
      <c r="AL20" s="3">
        <f>SOFP!AK28-SOFP!AJ28</f>
        <v>7634.4642419165248</v>
      </c>
      <c r="AM20" s="3">
        <f>SOFP!AL28-SOFP!AK28</f>
        <v>-16703.282371708272</v>
      </c>
      <c r="AN20" s="3">
        <f>SOFP!AM28-SOFP!AL28</f>
        <v>8964.7117992201584</v>
      </c>
      <c r="AO20" s="3">
        <f>SOFP!AN28-SOFP!AM28</f>
        <v>8675.5275476324096</v>
      </c>
      <c r="AP20" s="3">
        <f>SOFP!AO28-SOFP!AN28</f>
        <v>-16205.885458977345</v>
      </c>
      <c r="AQ20" s="3">
        <f>SOFP!AP28-SOFP!AO28</f>
        <v>6246.379834295336</v>
      </c>
      <c r="AR20" s="3">
        <f>SOFP!AQ28-SOFP!AP28</f>
        <v>5737.4155515009043</v>
      </c>
      <c r="AS20" s="3"/>
      <c r="AT20" s="3">
        <f>SOFP!AS28-SOFP!AQ28</f>
        <v>-16071.703966240631</v>
      </c>
      <c r="AU20" s="3">
        <f>SOFP!AT28-SOFP!AS28</f>
        <v>4803.6396031240665</v>
      </c>
      <c r="AV20" s="3">
        <f>SOFP!AU28-SOFP!AT28</f>
        <v>6777.3221202104414</v>
      </c>
      <c r="AW20" s="3">
        <f>SOFP!AV28-SOFP!AU28</f>
        <v>-8082.9890161291178</v>
      </c>
      <c r="AX20" s="3">
        <f>SOFP!AW28-SOFP!AV28</f>
        <v>9036.4294936139231</v>
      </c>
      <c r="AY20" s="3">
        <f>SOFP!AX28-SOFP!AW28</f>
        <v>8016.1874540123499</v>
      </c>
      <c r="AZ20" s="3">
        <f>SOFP!AY28-SOFP!AX28</f>
        <v>-17538.446490293689</v>
      </c>
      <c r="BA20" s="3">
        <f>SOFP!AZ28-SOFP!AY28</f>
        <v>9412.9473891811722</v>
      </c>
      <c r="BB20" s="3">
        <f>SOFP!BA28-SOFP!AZ28</f>
        <v>9109.3039250140318</v>
      </c>
      <c r="BC20" s="3">
        <f>SOFP!BB28-SOFP!BA28</f>
        <v>-17016.179731926219</v>
      </c>
      <c r="BD20" s="3">
        <f>SOFP!BC28-SOFP!BB28</f>
        <v>6558.6988260101043</v>
      </c>
      <c r="BE20" s="3">
        <f>SOFP!BD28-SOFP!BC28</f>
        <v>6024.2863290759487</v>
      </c>
      <c r="BF20" s="3"/>
      <c r="BG20" s="3">
        <f>SOFP!BF28-SOFP!BD28</f>
        <v>-16685.871361588641</v>
      </c>
      <c r="BH20" s="3">
        <f>SOFP!BG28-SOFP!BF28</f>
        <v>5245.2052958401409</v>
      </c>
      <c r="BI20" s="3">
        <f>SOFP!BH28-SOFP!BG28</f>
        <v>7400.3149306669984</v>
      </c>
      <c r="BJ20" s="3">
        <f>SOFP!BI28-SOFP!BH28</f>
        <v>-8826.0028429370741</v>
      </c>
      <c r="BK20" s="3">
        <f>SOFP!BJ28-SOFP!BI28</f>
        <v>9867.0865742226651</v>
      </c>
      <c r="BL20" s="3">
        <f>SOFP!BK28-SOFP!BJ28</f>
        <v>8753.060670681396</v>
      </c>
      <c r="BM20" s="3">
        <f>SOFP!BL28-SOFP!BK28</f>
        <v>-19150.635770399909</v>
      </c>
      <c r="BN20" s="3">
        <f>SOFP!BM28-SOFP!BL28</f>
        <v>10278.215181481943</v>
      </c>
      <c r="BO20" s="3">
        <f>SOFP!BN28-SOFP!BM28</f>
        <v>9946.6598530470401</v>
      </c>
      <c r="BP20" s="3">
        <f>SOFP!BO28-SOFP!BN28</f>
        <v>-18580.360605491871</v>
      </c>
      <c r="BQ20" s="3">
        <f>SOFP!BP28-SOFP!BO28</f>
        <v>7161.59509419387</v>
      </c>
      <c r="BR20" s="3">
        <f>SOFP!BQ28-SOFP!BP28</f>
        <v>6578.0577161484434</v>
      </c>
      <c r="BS20" s="3"/>
      <c r="BT20" s="2"/>
    </row>
    <row r="21" spans="1:72" ht="15.75" customHeight="1">
      <c r="A21" s="1"/>
      <c r="B21" s="2"/>
      <c r="C21" s="2"/>
      <c r="D21" s="2"/>
      <c r="E21" s="2"/>
      <c r="F21" s="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>
        <f>SOFP!BF29-SOFP!BD29</f>
        <v>0</v>
      </c>
      <c r="BH21" s="3">
        <f>SOFP!BG29-SOFP!BF29</f>
        <v>0</v>
      </c>
      <c r="BI21" s="3">
        <f>SOFP!BH29-SOFP!BG29</f>
        <v>0</v>
      </c>
      <c r="BJ21" s="3">
        <f>SOFP!BI29-SOFP!BH29</f>
        <v>0</v>
      </c>
      <c r="BK21" s="3">
        <f>SOFP!BJ29-SOFP!BI29</f>
        <v>0</v>
      </c>
      <c r="BL21" s="3">
        <f>SOFP!BK29-SOFP!BJ29</f>
        <v>0</v>
      </c>
      <c r="BM21" s="3">
        <f>SOFP!BL29-SOFP!BK29</f>
        <v>0</v>
      </c>
      <c r="BN21" s="3">
        <f>SOFP!BM29-SOFP!BL29</f>
        <v>0</v>
      </c>
      <c r="BO21" s="3">
        <f>SOFP!BN29-SOFP!BM29</f>
        <v>0</v>
      </c>
      <c r="BP21" s="3">
        <f>SOFP!BO29-SOFP!BN29</f>
        <v>0</v>
      </c>
      <c r="BQ21" s="3">
        <f>SOFP!BP29-SOFP!BO29</f>
        <v>0</v>
      </c>
      <c r="BR21" s="3">
        <f>SOFP!BQ29-SOFP!BP29</f>
        <v>0</v>
      </c>
      <c r="BS21" s="3"/>
      <c r="BT21" s="2"/>
    </row>
    <row r="22" spans="1:72" ht="15.75" customHeight="1">
      <c r="A22" s="1"/>
      <c r="B22" s="2"/>
      <c r="C22" s="2"/>
      <c r="D22" s="2"/>
      <c r="E22" s="2"/>
      <c r="F22" s="2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2"/>
    </row>
    <row r="23" spans="1:72" ht="15.75" customHeight="1">
      <c r="A23" s="1"/>
      <c r="B23" s="2"/>
      <c r="C23" s="2"/>
      <c r="D23" s="2"/>
      <c r="E23" s="2" t="s">
        <v>82</v>
      </c>
      <c r="F23" s="2"/>
      <c r="G23" s="18">
        <f>SUM(G7:G21)</f>
        <v>14257.070498255163</v>
      </c>
      <c r="H23" s="18">
        <f t="shared" ref="H23:R23" si="4">SUM(H7:H21)</f>
        <v>32667.506536678404</v>
      </c>
      <c r="I23" s="18">
        <f t="shared" si="4"/>
        <v>-3625.3958908757868</v>
      </c>
      <c r="J23" s="18">
        <f t="shared" si="4"/>
        <v>6780.5002382252469</v>
      </c>
      <c r="K23" s="18">
        <f t="shared" si="4"/>
        <v>21856.260732272633</v>
      </c>
      <c r="L23" s="18">
        <f t="shared" si="4"/>
        <v>15153.589426571609</v>
      </c>
      <c r="M23" s="18">
        <f t="shared" si="4"/>
        <v>-8329.0955049321346</v>
      </c>
      <c r="N23" s="18">
        <f t="shared" si="4"/>
        <v>21532.115879263209</v>
      </c>
      <c r="O23" s="18">
        <f t="shared" si="4"/>
        <v>23147.039423434544</v>
      </c>
      <c r="P23" s="18">
        <f t="shared" si="4"/>
        <v>-948.48111766598595</v>
      </c>
      <c r="Q23" s="18">
        <f t="shared" si="4"/>
        <v>4538.3582385557975</v>
      </c>
      <c r="R23" s="18">
        <f t="shared" si="4"/>
        <v>-1704.1988696830704</v>
      </c>
      <c r="S23" s="3"/>
      <c r="T23" s="18">
        <f t="shared" ref="T23:AE23" si="5">SUM(T7:T21)</f>
        <v>-21627.728362808841</v>
      </c>
      <c r="U23" s="18">
        <f t="shared" si="5"/>
        <v>-3591.7120023745879</v>
      </c>
      <c r="V23" s="18">
        <f t="shared" si="5"/>
        <v>10907.12902079834</v>
      </c>
      <c r="W23" s="18">
        <f t="shared" si="5"/>
        <v>8423.3431862813886</v>
      </c>
      <c r="X23" s="18">
        <f t="shared" si="5"/>
        <v>25600.973300583275</v>
      </c>
      <c r="Y23" s="18">
        <f t="shared" si="5"/>
        <v>18160.557383292511</v>
      </c>
      <c r="Z23" s="18">
        <f t="shared" si="5"/>
        <v>-8977.5309167486794</v>
      </c>
      <c r="AA23" s="18">
        <f t="shared" si="5"/>
        <v>24756.820485882206</v>
      </c>
      <c r="AB23" s="18">
        <f t="shared" si="5"/>
        <v>27307.235525384644</v>
      </c>
      <c r="AC23" s="18">
        <f t="shared" si="5"/>
        <v>-559.08434698640121</v>
      </c>
      <c r="AD23" s="18">
        <f t="shared" si="5"/>
        <v>6116.8155630906922</v>
      </c>
      <c r="AE23" s="18">
        <f t="shared" si="5"/>
        <v>-1804.7484184304994</v>
      </c>
      <c r="AF23" s="3"/>
      <c r="AG23" s="18">
        <f t="shared" ref="AG23:AR23" si="6">SUM(AG7:AG21)</f>
        <v>-24189.823441131455</v>
      </c>
      <c r="AH23" s="18">
        <f t="shared" si="6"/>
        <v>-3560.3846363910843</v>
      </c>
      <c r="AI23" s="18">
        <f t="shared" si="6"/>
        <v>13165.199192499036</v>
      </c>
      <c r="AJ23" s="18">
        <f t="shared" si="6"/>
        <v>10337.394450738215</v>
      </c>
      <c r="AK23" s="18">
        <f t="shared" si="6"/>
        <v>30019.222909246659</v>
      </c>
      <c r="AL23" s="18">
        <f t="shared" si="6"/>
        <v>21502.732158063805</v>
      </c>
      <c r="AM23" s="18">
        <f t="shared" si="6"/>
        <v>-9562.383121693998</v>
      </c>
      <c r="AN23" s="18">
        <f t="shared" si="6"/>
        <v>29055.934945722154</v>
      </c>
      <c r="AO23" s="18">
        <f t="shared" si="6"/>
        <v>31965.994677264345</v>
      </c>
      <c r="AP23" s="18">
        <f t="shared" si="6"/>
        <v>118.90710182818839</v>
      </c>
      <c r="AQ23" s="18">
        <f t="shared" si="6"/>
        <v>7721.3883377712536</v>
      </c>
      <c r="AR23" s="18">
        <f t="shared" si="6"/>
        <v>-1448.8288750482125</v>
      </c>
      <c r="AS23" s="3"/>
      <c r="AT23" s="18">
        <f t="shared" ref="AT23:BE23" si="7">SUM(AT7:AT21)</f>
        <v>-27418.417058700405</v>
      </c>
      <c r="AU23" s="18">
        <f t="shared" si="7"/>
        <v>-4951.199764842956</v>
      </c>
      <c r="AV23" s="18">
        <f t="shared" si="7"/>
        <v>13831.37227275128</v>
      </c>
      <c r="AW23" s="18">
        <f t="shared" si="7"/>
        <v>10850.459871888808</v>
      </c>
      <c r="AX23" s="18">
        <f t="shared" si="7"/>
        <v>31488.567391688179</v>
      </c>
      <c r="AY23" s="18">
        <f t="shared" si="7"/>
        <v>22559.361310314172</v>
      </c>
      <c r="AZ23" s="18">
        <f t="shared" si="7"/>
        <v>-10032.129761856826</v>
      </c>
      <c r="BA23" s="18">
        <f t="shared" si="7"/>
        <v>30481.198376938461</v>
      </c>
      <c r="BB23" s="18">
        <f t="shared" si="7"/>
        <v>33541.362795072841</v>
      </c>
      <c r="BC23" s="18">
        <f t="shared" si="7"/>
        <v>79.006934931181604</v>
      </c>
      <c r="BD23" s="18">
        <f t="shared" si="7"/>
        <v>8099.75023096513</v>
      </c>
      <c r="BE23" s="18">
        <f t="shared" si="7"/>
        <v>-1531.1980932874048</v>
      </c>
      <c r="BF23" s="3"/>
      <c r="BG23" s="18">
        <f t="shared" ref="BG23:BR23" si="8">SUM(BG7:BG21)</f>
        <v>-28290.864800185249</v>
      </c>
      <c r="BH23" s="18">
        <f t="shared" si="8"/>
        <v>-4180.013668833587</v>
      </c>
      <c r="BI23" s="18">
        <f t="shared" si="8"/>
        <v>15759.537542434999</v>
      </c>
      <c r="BJ23" s="18">
        <f t="shared" si="8"/>
        <v>12519.913501448513</v>
      </c>
      <c r="BK23" s="18">
        <f t="shared" si="8"/>
        <v>35091.641697650317</v>
      </c>
      <c r="BL23" s="18">
        <f t="shared" si="8"/>
        <v>25335.27139465242</v>
      </c>
      <c r="BM23" s="18">
        <f t="shared" si="8"/>
        <v>-10276.859093363944</v>
      </c>
      <c r="BN23" s="18">
        <f t="shared" si="8"/>
        <v>33994.096113633932</v>
      </c>
      <c r="BO23" s="18">
        <f t="shared" si="8"/>
        <v>37327.208662956153</v>
      </c>
      <c r="BP23" s="18">
        <f t="shared" si="8"/>
        <v>822.52956290125076</v>
      </c>
      <c r="BQ23" s="18">
        <f t="shared" si="8"/>
        <v>9541.285192167039</v>
      </c>
      <c r="BR23" s="18">
        <f t="shared" si="8"/>
        <v>-342.17141946852098</v>
      </c>
      <c r="BS23" s="3"/>
      <c r="BT23" s="2"/>
    </row>
    <row r="24" spans="1:72" ht="15.75" customHeight="1">
      <c r="A24" s="1"/>
      <c r="B24" s="2"/>
      <c r="C24" s="2"/>
      <c r="D24" s="2"/>
      <c r="E24" s="2"/>
      <c r="F24" s="2"/>
      <c r="G24" s="308"/>
      <c r="H24" s="308"/>
      <c r="I24" s="308"/>
      <c r="J24" s="308"/>
      <c r="K24" s="308"/>
      <c r="L24" s="308"/>
      <c r="M24" s="308"/>
      <c r="N24" s="308"/>
      <c r="O24" s="308"/>
      <c r="P24" s="308"/>
      <c r="Q24" s="308"/>
      <c r="R24" s="308"/>
      <c r="S24" s="3"/>
      <c r="T24" s="308"/>
      <c r="U24" s="308"/>
      <c r="V24" s="308"/>
      <c r="W24" s="308"/>
      <c r="X24" s="308"/>
      <c r="Y24" s="308"/>
      <c r="Z24" s="308"/>
      <c r="AA24" s="308"/>
      <c r="AB24" s="308"/>
      <c r="AC24" s="308"/>
      <c r="AD24" s="308"/>
      <c r="AE24" s="308"/>
      <c r="AF24" s="3"/>
      <c r="AG24" s="308"/>
      <c r="AH24" s="308"/>
      <c r="AI24" s="308"/>
      <c r="AJ24" s="308"/>
      <c r="AK24" s="308"/>
      <c r="AL24" s="308"/>
      <c r="AM24" s="308"/>
      <c r="AN24" s="308"/>
      <c r="AO24" s="308"/>
      <c r="AP24" s="308"/>
      <c r="AQ24" s="308"/>
      <c r="AR24" s="308"/>
      <c r="AS24" s="3"/>
      <c r="AT24" s="308"/>
      <c r="AU24" s="308"/>
      <c r="AV24" s="308"/>
      <c r="AW24" s="308"/>
      <c r="AX24" s="308"/>
      <c r="AY24" s="308"/>
      <c r="AZ24" s="308"/>
      <c r="BA24" s="308"/>
      <c r="BB24" s="308"/>
      <c r="BC24" s="308"/>
      <c r="BD24" s="308"/>
      <c r="BE24" s="308"/>
      <c r="BF24" s="3"/>
      <c r="BG24" s="308"/>
      <c r="BH24" s="308"/>
      <c r="BI24" s="308"/>
      <c r="BJ24" s="308"/>
      <c r="BK24" s="308"/>
      <c r="BL24" s="308"/>
      <c r="BM24" s="308"/>
      <c r="BN24" s="308"/>
      <c r="BO24" s="308"/>
      <c r="BP24" s="308"/>
      <c r="BQ24" s="308"/>
      <c r="BR24" s="308"/>
      <c r="BS24" s="3"/>
      <c r="BT24" s="2"/>
    </row>
    <row r="25" spans="1:72" ht="15.75" customHeight="1">
      <c r="A25" s="324" t="s">
        <v>619</v>
      </c>
      <c r="B25" s="2"/>
      <c r="C25" s="2"/>
      <c r="D25" s="2"/>
      <c r="E25" s="2"/>
      <c r="F25" s="2"/>
      <c r="G25" s="308"/>
      <c r="H25" s="308"/>
      <c r="I25" s="308"/>
      <c r="J25" s="308"/>
      <c r="K25" s="308"/>
      <c r="L25" s="308"/>
      <c r="M25" s="308"/>
      <c r="N25" s="308"/>
      <c r="O25" s="308"/>
      <c r="P25" s="308"/>
      <c r="Q25" s="308"/>
      <c r="R25" s="308"/>
      <c r="S25" s="3"/>
      <c r="T25" s="308"/>
      <c r="U25" s="308"/>
      <c r="V25" s="308"/>
      <c r="W25" s="308"/>
      <c r="X25" s="308"/>
      <c r="Y25" s="308"/>
      <c r="Z25" s="308"/>
      <c r="AA25" s="308"/>
      <c r="AB25" s="308"/>
      <c r="AC25" s="308"/>
      <c r="AD25" s="308"/>
      <c r="AE25" s="308"/>
      <c r="AF25" s="3"/>
      <c r="AG25" s="308"/>
      <c r="AH25" s="308"/>
      <c r="AI25" s="308"/>
      <c r="AJ25" s="308"/>
      <c r="AK25" s="308"/>
      <c r="AL25" s="308"/>
      <c r="AM25" s="308"/>
      <c r="AN25" s="308"/>
      <c r="AO25" s="308"/>
      <c r="AP25" s="308"/>
      <c r="AQ25" s="308"/>
      <c r="AR25" s="308"/>
      <c r="AS25" s="3"/>
      <c r="AT25" s="308"/>
      <c r="AU25" s="308"/>
      <c r="AV25" s="308"/>
      <c r="AW25" s="308"/>
      <c r="AX25" s="308"/>
      <c r="AY25" s="308"/>
      <c r="AZ25" s="308"/>
      <c r="BA25" s="308"/>
      <c r="BB25" s="308"/>
      <c r="BC25" s="308"/>
      <c r="BD25" s="308"/>
      <c r="BE25" s="308"/>
      <c r="BF25" s="3"/>
      <c r="BG25" s="308"/>
      <c r="BH25" s="308"/>
      <c r="BI25" s="308"/>
      <c r="BJ25" s="308"/>
      <c r="BK25" s="308"/>
      <c r="BL25" s="308"/>
      <c r="BM25" s="308"/>
      <c r="BN25" s="308"/>
      <c r="BO25" s="308"/>
      <c r="BP25" s="308"/>
      <c r="BQ25" s="308"/>
      <c r="BR25" s="308"/>
      <c r="BS25" s="3"/>
      <c r="BT25" s="2"/>
    </row>
    <row r="26" spans="1:72" ht="15.75" customHeight="1">
      <c r="A26" s="324"/>
      <c r="B26" s="282" t="s">
        <v>620</v>
      </c>
      <c r="C26" s="2"/>
      <c r="D26" s="2"/>
      <c r="E26" s="2"/>
      <c r="F26" s="2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3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308"/>
      <c r="AF26" s="3"/>
      <c r="AG26" s="308"/>
      <c r="AH26" s="308"/>
      <c r="AI26" s="308"/>
      <c r="AJ26" s="308"/>
      <c r="AK26" s="308"/>
      <c r="AL26" s="308"/>
      <c r="AM26" s="308"/>
      <c r="AN26" s="308"/>
      <c r="AO26" s="308"/>
      <c r="AP26" s="308"/>
      <c r="AQ26" s="308"/>
      <c r="AR26" s="308"/>
      <c r="AS26" s="3"/>
      <c r="AT26" s="308"/>
      <c r="AU26" s="308"/>
      <c r="AV26" s="308"/>
      <c r="AW26" s="308"/>
      <c r="AX26" s="308"/>
      <c r="AY26" s="308"/>
      <c r="AZ26" s="308"/>
      <c r="BA26" s="308"/>
      <c r="BB26" s="308"/>
      <c r="BC26" s="308"/>
      <c r="BD26" s="308"/>
      <c r="BE26" s="308"/>
      <c r="BF26" s="3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"/>
      <c r="BT26" s="2"/>
    </row>
    <row r="27" spans="1:72" ht="15.75" customHeight="1">
      <c r="A27" s="1"/>
      <c r="B27" s="2"/>
      <c r="C27" s="2"/>
      <c r="D27" s="2"/>
      <c r="E27" s="2"/>
      <c r="F27" s="2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2"/>
    </row>
    <row r="28" spans="1:72" ht="15.75" customHeight="1">
      <c r="A28" s="1" t="s">
        <v>83</v>
      </c>
      <c r="B28" s="2"/>
      <c r="C28" s="2"/>
      <c r="D28" s="2"/>
      <c r="E28" s="2"/>
      <c r="F28" s="2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2"/>
    </row>
    <row r="29" spans="1:72" ht="15.75" customHeight="1">
      <c r="A29" s="1"/>
      <c r="B29" s="2" t="s">
        <v>84</v>
      </c>
      <c r="C29" s="2"/>
      <c r="D29" s="2"/>
      <c r="E29" s="2"/>
      <c r="F29" s="2"/>
      <c r="G29" s="38">
        <f>-'Capital purchases'!$C115</f>
        <v>-242275</v>
      </c>
      <c r="H29" s="38">
        <f>-'Capital purchases'!$C116</f>
        <v>0</v>
      </c>
      <c r="I29" s="38">
        <f>-'Capital purchases'!$C117</f>
        <v>0</v>
      </c>
      <c r="J29" s="38">
        <f>-'Capital purchases'!$C118</f>
        <v>0</v>
      </c>
      <c r="K29" s="38">
        <f>-'Capital purchases'!$C119</f>
        <v>0</v>
      </c>
      <c r="L29" s="38">
        <f>-'Capital purchases'!$C120</f>
        <v>0</v>
      </c>
      <c r="M29" s="38">
        <f>-'Capital purchases'!$C121</f>
        <v>0</v>
      </c>
      <c r="N29" s="38">
        <f>-'Capital purchases'!$C122</f>
        <v>0</v>
      </c>
      <c r="O29" s="38">
        <f>-'Capital purchases'!$C123</f>
        <v>0</v>
      </c>
      <c r="P29" s="38">
        <f>-'Capital purchases'!$C124</f>
        <v>0</v>
      </c>
      <c r="Q29" s="38">
        <f>-'Capital purchases'!$C125</f>
        <v>0</v>
      </c>
      <c r="R29" s="38">
        <f>-'Capital purchases'!$C126</f>
        <v>0</v>
      </c>
      <c r="S29" s="38"/>
      <c r="T29" s="38">
        <f>-'Capital purchases'!$C129</f>
        <v>0</v>
      </c>
      <c r="U29" s="38">
        <f>-'Capital purchases'!$C130</f>
        <v>0</v>
      </c>
      <c r="V29" s="38">
        <f>-'Capital purchases'!$C131</f>
        <v>0</v>
      </c>
      <c r="W29" s="38">
        <f>-'Capital purchases'!$C132</f>
        <v>0</v>
      </c>
      <c r="X29" s="38">
        <f>-'Capital purchases'!$C133</f>
        <v>0</v>
      </c>
      <c r="Y29" s="38">
        <f>-'Capital purchases'!$C134</f>
        <v>0</v>
      </c>
      <c r="Z29" s="38">
        <f>-'Capital purchases'!$C135</f>
        <v>0</v>
      </c>
      <c r="AA29" s="38">
        <f>-'Capital purchases'!$C136</f>
        <v>0</v>
      </c>
      <c r="AB29" s="38">
        <f>-'Capital purchases'!$C137</f>
        <v>0</v>
      </c>
      <c r="AC29" s="38">
        <f>-'Capital purchases'!$C138</f>
        <v>0</v>
      </c>
      <c r="AD29" s="38">
        <f>-'Capital purchases'!$C139</f>
        <v>0</v>
      </c>
      <c r="AE29" s="38">
        <f>-'Capital purchases'!$C140</f>
        <v>0</v>
      </c>
      <c r="AF29" s="38"/>
      <c r="AG29" s="38">
        <f>-'Capital purchases'!$C143</f>
        <v>0</v>
      </c>
      <c r="AH29" s="38">
        <f>-'Capital purchases'!$C144</f>
        <v>0</v>
      </c>
      <c r="AI29" s="38">
        <f>-'Capital purchases'!$C145</f>
        <v>0</v>
      </c>
      <c r="AJ29" s="38">
        <f>-'Capital purchases'!$C146</f>
        <v>0</v>
      </c>
      <c r="AK29" s="38">
        <f>-'Capital purchases'!$C147</f>
        <v>0</v>
      </c>
      <c r="AL29" s="38">
        <f>-'Capital purchases'!$C148</f>
        <v>0</v>
      </c>
      <c r="AM29" s="38">
        <f>-'Capital purchases'!$C149</f>
        <v>0</v>
      </c>
      <c r="AN29" s="38">
        <f>-'Capital purchases'!$C150</f>
        <v>0</v>
      </c>
      <c r="AO29" s="38">
        <f>-'Capital purchases'!$C151</f>
        <v>0</v>
      </c>
      <c r="AP29" s="38">
        <f>-'Capital purchases'!$C152</f>
        <v>0</v>
      </c>
      <c r="AQ29" s="38">
        <f>-'Capital purchases'!$C153</f>
        <v>0</v>
      </c>
      <c r="AR29" s="38">
        <f>-'Capital purchases'!$C154</f>
        <v>0</v>
      </c>
      <c r="AS29" s="3"/>
      <c r="AT29" s="38">
        <f>-'Capital purchases'!$C157</f>
        <v>0</v>
      </c>
      <c r="AU29" s="38">
        <f>-'Capital purchases'!$C158</f>
        <v>0</v>
      </c>
      <c r="AV29" s="38">
        <f>-'Capital purchases'!$C159</f>
        <v>0</v>
      </c>
      <c r="AW29" s="38">
        <f>-'Capital purchases'!$C160</f>
        <v>0</v>
      </c>
      <c r="AX29" s="38">
        <f>-'Capital purchases'!$C161</f>
        <v>0</v>
      </c>
      <c r="AY29" s="38">
        <f>-'Capital purchases'!$C162</f>
        <v>0</v>
      </c>
      <c r="AZ29" s="38">
        <f>-'Capital purchases'!$C163</f>
        <v>0</v>
      </c>
      <c r="BA29" s="38">
        <f>-'Capital purchases'!$C164</f>
        <v>0</v>
      </c>
      <c r="BB29" s="38">
        <f>-'Capital purchases'!$C165</f>
        <v>0</v>
      </c>
      <c r="BC29" s="38">
        <f>-'Capital purchases'!$C166</f>
        <v>0</v>
      </c>
      <c r="BD29" s="38">
        <f>-'Capital purchases'!$C167</f>
        <v>0</v>
      </c>
      <c r="BE29" s="38">
        <f>-'Capital purchases'!$C168</f>
        <v>0</v>
      </c>
      <c r="BF29" s="3"/>
      <c r="BG29" s="38">
        <f>-'Capital purchases'!$C171</f>
        <v>0</v>
      </c>
      <c r="BH29" s="38">
        <f>-'Capital purchases'!$C172</f>
        <v>0</v>
      </c>
      <c r="BI29" s="38">
        <f>-'Capital purchases'!$C173</f>
        <v>0</v>
      </c>
      <c r="BJ29" s="38">
        <f>-'Capital purchases'!$C174</f>
        <v>0</v>
      </c>
      <c r="BK29" s="38">
        <f>-'Capital purchases'!$C175</f>
        <v>0</v>
      </c>
      <c r="BL29" s="38">
        <f>-'Capital purchases'!$C176</f>
        <v>0</v>
      </c>
      <c r="BM29" s="38">
        <f>-'Capital purchases'!$C177</f>
        <v>0</v>
      </c>
      <c r="BN29" s="38">
        <f>-'Capital purchases'!$C178</f>
        <v>0</v>
      </c>
      <c r="BO29" s="38">
        <f>-'Capital purchases'!$C179</f>
        <v>0</v>
      </c>
      <c r="BP29" s="38">
        <f>-'Capital purchases'!$C180</f>
        <v>0</v>
      </c>
      <c r="BQ29" s="38">
        <f>-'Capital purchases'!$C181</f>
        <v>0</v>
      </c>
      <c r="BR29" s="38">
        <f>-'Capital purchases'!$C182</f>
        <v>0</v>
      </c>
      <c r="BS29" s="3"/>
      <c r="BT29" s="2"/>
    </row>
    <row r="30" spans="1:72" ht="15.75" customHeight="1">
      <c r="A30" s="1"/>
      <c r="B30" s="282" t="s">
        <v>620</v>
      </c>
      <c r="C30" s="2"/>
      <c r="D30" s="2"/>
      <c r="E30" s="2"/>
      <c r="F30" s="2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2"/>
    </row>
    <row r="31" spans="1:72" ht="15.75" customHeight="1">
      <c r="A31" s="1"/>
      <c r="B31" s="2"/>
      <c r="C31" s="2"/>
      <c r="D31" s="2"/>
      <c r="E31" s="2" t="s">
        <v>85</v>
      </c>
      <c r="F31" s="2"/>
      <c r="G31" s="18">
        <f>SUM(G29:G30)</f>
        <v>-242275</v>
      </c>
      <c r="H31" s="18">
        <f t="shared" ref="H31:R31" si="9">SUM(H29:H30)</f>
        <v>0</v>
      </c>
      <c r="I31" s="18">
        <f t="shared" si="9"/>
        <v>0</v>
      </c>
      <c r="J31" s="18">
        <f t="shared" si="9"/>
        <v>0</v>
      </c>
      <c r="K31" s="18">
        <f t="shared" si="9"/>
        <v>0</v>
      </c>
      <c r="L31" s="18">
        <f t="shared" si="9"/>
        <v>0</v>
      </c>
      <c r="M31" s="18">
        <f t="shared" si="9"/>
        <v>0</v>
      </c>
      <c r="N31" s="18">
        <f t="shared" si="9"/>
        <v>0</v>
      </c>
      <c r="O31" s="18">
        <f t="shared" si="9"/>
        <v>0</v>
      </c>
      <c r="P31" s="18">
        <f t="shared" si="9"/>
        <v>0</v>
      </c>
      <c r="Q31" s="18">
        <f t="shared" si="9"/>
        <v>0</v>
      </c>
      <c r="R31" s="18">
        <f t="shared" si="9"/>
        <v>0</v>
      </c>
      <c r="S31" s="3"/>
      <c r="T31" s="18">
        <f t="shared" ref="T31:AE31" si="10">SUM(T29:T30)</f>
        <v>0</v>
      </c>
      <c r="U31" s="18">
        <f t="shared" si="10"/>
        <v>0</v>
      </c>
      <c r="V31" s="18">
        <f t="shared" si="10"/>
        <v>0</v>
      </c>
      <c r="W31" s="18">
        <f t="shared" si="10"/>
        <v>0</v>
      </c>
      <c r="X31" s="18">
        <f t="shared" si="10"/>
        <v>0</v>
      </c>
      <c r="Y31" s="18">
        <f t="shared" si="10"/>
        <v>0</v>
      </c>
      <c r="Z31" s="18">
        <f t="shared" si="10"/>
        <v>0</v>
      </c>
      <c r="AA31" s="18">
        <f t="shared" si="10"/>
        <v>0</v>
      </c>
      <c r="AB31" s="18">
        <f t="shared" si="10"/>
        <v>0</v>
      </c>
      <c r="AC31" s="18">
        <f t="shared" si="10"/>
        <v>0</v>
      </c>
      <c r="AD31" s="18">
        <f t="shared" si="10"/>
        <v>0</v>
      </c>
      <c r="AE31" s="18">
        <f t="shared" si="10"/>
        <v>0</v>
      </c>
      <c r="AF31" s="3"/>
      <c r="AG31" s="18">
        <f t="shared" ref="AG31:AR31" si="11">SUM(AG29:AG30)</f>
        <v>0</v>
      </c>
      <c r="AH31" s="18">
        <f t="shared" si="11"/>
        <v>0</v>
      </c>
      <c r="AI31" s="18">
        <f t="shared" si="11"/>
        <v>0</v>
      </c>
      <c r="AJ31" s="18">
        <f t="shared" si="11"/>
        <v>0</v>
      </c>
      <c r="AK31" s="18">
        <f t="shared" si="11"/>
        <v>0</v>
      </c>
      <c r="AL31" s="18">
        <f t="shared" si="11"/>
        <v>0</v>
      </c>
      <c r="AM31" s="18">
        <f t="shared" si="11"/>
        <v>0</v>
      </c>
      <c r="AN31" s="18">
        <f t="shared" si="11"/>
        <v>0</v>
      </c>
      <c r="AO31" s="18">
        <f t="shared" si="11"/>
        <v>0</v>
      </c>
      <c r="AP31" s="18">
        <f t="shared" si="11"/>
        <v>0</v>
      </c>
      <c r="AQ31" s="18">
        <f t="shared" si="11"/>
        <v>0</v>
      </c>
      <c r="AR31" s="18">
        <f t="shared" si="11"/>
        <v>0</v>
      </c>
      <c r="AS31" s="3"/>
      <c r="AT31" s="18">
        <f t="shared" ref="AT31:BE31" si="12">SUM(AT29:AT30)</f>
        <v>0</v>
      </c>
      <c r="AU31" s="18">
        <f t="shared" si="12"/>
        <v>0</v>
      </c>
      <c r="AV31" s="18">
        <f t="shared" si="12"/>
        <v>0</v>
      </c>
      <c r="AW31" s="18">
        <f t="shared" si="12"/>
        <v>0</v>
      </c>
      <c r="AX31" s="18">
        <f t="shared" si="12"/>
        <v>0</v>
      </c>
      <c r="AY31" s="18">
        <f t="shared" si="12"/>
        <v>0</v>
      </c>
      <c r="AZ31" s="18">
        <f t="shared" si="12"/>
        <v>0</v>
      </c>
      <c r="BA31" s="18">
        <f t="shared" si="12"/>
        <v>0</v>
      </c>
      <c r="BB31" s="18">
        <f t="shared" si="12"/>
        <v>0</v>
      </c>
      <c r="BC31" s="18">
        <f t="shared" si="12"/>
        <v>0</v>
      </c>
      <c r="BD31" s="18">
        <f t="shared" si="12"/>
        <v>0</v>
      </c>
      <c r="BE31" s="18">
        <f t="shared" si="12"/>
        <v>0</v>
      </c>
      <c r="BF31" s="3"/>
      <c r="BG31" s="18">
        <f t="shared" ref="BG31:BR31" si="13">SUM(BG29:BG30)</f>
        <v>0</v>
      </c>
      <c r="BH31" s="18">
        <f t="shared" si="13"/>
        <v>0</v>
      </c>
      <c r="BI31" s="18">
        <f t="shared" si="13"/>
        <v>0</v>
      </c>
      <c r="BJ31" s="18">
        <f t="shared" si="13"/>
        <v>0</v>
      </c>
      <c r="BK31" s="18">
        <f t="shared" si="13"/>
        <v>0</v>
      </c>
      <c r="BL31" s="18">
        <f t="shared" si="13"/>
        <v>0</v>
      </c>
      <c r="BM31" s="18">
        <f t="shared" si="13"/>
        <v>0</v>
      </c>
      <c r="BN31" s="18">
        <f t="shared" si="13"/>
        <v>0</v>
      </c>
      <c r="BO31" s="18">
        <f t="shared" si="13"/>
        <v>0</v>
      </c>
      <c r="BP31" s="18">
        <f t="shared" si="13"/>
        <v>0</v>
      </c>
      <c r="BQ31" s="18">
        <f t="shared" si="13"/>
        <v>0</v>
      </c>
      <c r="BR31" s="18">
        <f t="shared" si="13"/>
        <v>0</v>
      </c>
      <c r="BS31" s="3"/>
      <c r="BT31" s="2"/>
    </row>
    <row r="32" spans="1:72" ht="15.75" customHeight="1">
      <c r="A32" s="1"/>
      <c r="B32" s="2"/>
      <c r="C32" s="2"/>
      <c r="D32" s="2"/>
      <c r="E32" s="2"/>
      <c r="F32" s="2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2"/>
    </row>
    <row r="33" spans="1:72" ht="15.75" customHeight="1">
      <c r="A33" s="1" t="s">
        <v>86</v>
      </c>
      <c r="B33" s="2"/>
      <c r="C33" s="2"/>
      <c r="D33" s="2"/>
      <c r="E33" s="2"/>
      <c r="F33" s="2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2"/>
    </row>
    <row r="34" spans="1:72" ht="15.75" customHeight="1">
      <c r="A34" s="16"/>
      <c r="B34" s="17" t="s">
        <v>87</v>
      </c>
      <c r="C34" s="17"/>
      <c r="D34" s="17"/>
      <c r="E34" s="17"/>
      <c r="F34" s="17"/>
      <c r="G34" s="39">
        <f>-IF(Assumptions!$B$36&gt;G$6,0,HLOOKUP(G$6,LoanPayCalc!$I$10:$BQ$13,3,FALSE))-IF(Assumptions!$B$40&gt;G$6,0,HLOOKUP(G$6,LoanPayCalc!$CC$10:$EK$13,3,FALSE))</f>
        <v>0</v>
      </c>
      <c r="H34" s="39">
        <f>-IF(Assumptions!$B$36&gt;H$6,0,HLOOKUP(H$6,LoanPayCalc!$I$10:$BQ$13,3,FALSE))-IF(Assumptions!$B$40&gt;H$6,0,HLOOKUP(H$6,LoanPayCalc!$CC$10:$EK$13,3,FALSE))</f>
        <v>0</v>
      </c>
      <c r="I34" s="39">
        <f>-IF(Assumptions!$B$36&gt;I$6,0,HLOOKUP(I$6,LoanPayCalc!$I$10:$BQ$13,3,FALSE))-IF(Assumptions!$B$40&gt;I$6,0,HLOOKUP(I$6,LoanPayCalc!$CC$10:$EK$13,3,FALSE))</f>
        <v>0</v>
      </c>
      <c r="J34" s="39">
        <f>-IF(Assumptions!$B$36&gt;J$6,0,HLOOKUP(J$6,LoanPayCalc!$I$10:$BQ$13,3,FALSE))-IF(Assumptions!$B$40&gt;J$6,0,HLOOKUP(J$6,LoanPayCalc!$CC$10:$EK$13,3,FALSE))</f>
        <v>0</v>
      </c>
      <c r="K34" s="39">
        <f>-IF(Assumptions!$B$36&gt;K$6,0,HLOOKUP(K$6,LoanPayCalc!$I$10:$BQ$13,3,FALSE))-IF(Assumptions!$B$40&gt;K$6,0,HLOOKUP(K$6,LoanPayCalc!$CC$10:$EK$13,3,FALSE))</f>
        <v>0</v>
      </c>
      <c r="L34" s="39">
        <f>-IF(Assumptions!$B$36&gt;L$6,0,HLOOKUP(L$6,LoanPayCalc!$I$10:$BQ$13,3,FALSE))-IF(Assumptions!$B$40&gt;L$6,0,HLOOKUP(L$6,LoanPayCalc!$CC$10:$EK$13,3,FALSE))</f>
        <v>0</v>
      </c>
      <c r="M34" s="39">
        <f>-IF(Assumptions!$B$36&gt;M$6,0,HLOOKUP(M$6,LoanPayCalc!$I$10:$BQ$13,3,FALSE))-IF(Assumptions!$B$40&gt;M$6,0,HLOOKUP(M$6,LoanPayCalc!$CC$10:$EK$13,3,FALSE))</f>
        <v>0</v>
      </c>
      <c r="N34" s="39">
        <f>-IF(Assumptions!$B$36&gt;N$6,0,HLOOKUP(N$6,LoanPayCalc!$I$10:$BQ$13,3,FALSE))-IF(Assumptions!$B$40&gt;N$6,0,HLOOKUP(N$6,LoanPayCalc!$CC$10:$EK$13,3,FALSE))</f>
        <v>0</v>
      </c>
      <c r="O34" s="39">
        <f>-IF(Assumptions!$B$36&gt;O$6,0,HLOOKUP(O$6,LoanPayCalc!$I$10:$BQ$13,3,FALSE))-IF(Assumptions!$B$40&gt;O$6,0,HLOOKUP(O$6,LoanPayCalc!$CC$10:$EK$13,3,FALSE))</f>
        <v>0</v>
      </c>
      <c r="P34" s="39">
        <f>-IF(Assumptions!$B$36&gt;P$6,0,HLOOKUP(P$6,LoanPayCalc!$I$10:$BQ$13,3,FALSE))-IF(Assumptions!$B$40&gt;P$6,0,HLOOKUP(P$6,LoanPayCalc!$CC$10:$EK$13,3,FALSE))</f>
        <v>0</v>
      </c>
      <c r="Q34" s="39">
        <f>-IF(Assumptions!$B$36&gt;Q$6,0,HLOOKUP(Q$6,LoanPayCalc!$I$10:$BQ$13,3,FALSE))-IF(Assumptions!$B$40&gt;Q$6,0,HLOOKUP(Q$6,LoanPayCalc!$CC$10:$EK$13,3,FALSE))</f>
        <v>0</v>
      </c>
      <c r="R34" s="39">
        <f>-IF(Assumptions!$B$36&gt;R$6,0,HLOOKUP(R$6,LoanPayCalc!$I$10:$BQ$13,3,FALSE))-IF(Assumptions!$B$40&gt;R$6,0,HLOOKUP(R$6,LoanPayCalc!$CC$10:$EK$13,3,FALSE))</f>
        <v>0</v>
      </c>
      <c r="S34" s="39"/>
      <c r="T34" s="39">
        <f>-IF(Assumptions!$B$36&gt;T$6,0,HLOOKUP(T$6,LoanPayCalc!$I$10:$BQ$13,3,FALSE))-IF(Assumptions!$B$40&gt;T$6,0,HLOOKUP(T$6,LoanPayCalc!$CC$10:$EK$13,3,FALSE))</f>
        <v>0</v>
      </c>
      <c r="U34" s="39">
        <f>-IF(Assumptions!$B$36&gt;U$6,0,HLOOKUP(U$6,LoanPayCalc!$I$10:$BQ$13,3,FALSE))-IF(Assumptions!$B$40&gt;U$6,0,HLOOKUP(U$6,LoanPayCalc!$CC$10:$EK$13,3,FALSE))</f>
        <v>0</v>
      </c>
      <c r="V34" s="39">
        <f>-IF(Assumptions!$B$36&gt;V$6,0,HLOOKUP(V$6,LoanPayCalc!$I$10:$BQ$13,3,FALSE))-IF(Assumptions!$B$40&gt;V$6,0,HLOOKUP(V$6,LoanPayCalc!$CC$10:$EK$13,3,FALSE))</f>
        <v>0</v>
      </c>
      <c r="W34" s="39">
        <f>-IF(Assumptions!$B$36&gt;W$6,0,HLOOKUP(W$6,LoanPayCalc!$I$10:$BQ$13,3,FALSE))-IF(Assumptions!$B$40&gt;W$6,0,HLOOKUP(W$6,LoanPayCalc!$CC$10:$EK$13,3,FALSE))</f>
        <v>0</v>
      </c>
      <c r="X34" s="39">
        <f>-IF(Assumptions!$B$36&gt;X$6,0,HLOOKUP(X$6,LoanPayCalc!$I$10:$BQ$13,3,FALSE))-IF(Assumptions!$B$40&gt;X$6,0,HLOOKUP(X$6,LoanPayCalc!$CC$10:$EK$13,3,FALSE))</f>
        <v>0</v>
      </c>
      <c r="Y34" s="39">
        <f>-IF(Assumptions!$B$36&gt;Y$6,0,HLOOKUP(Y$6,LoanPayCalc!$I$10:$BQ$13,3,FALSE))-IF(Assumptions!$B$40&gt;Y$6,0,HLOOKUP(Y$6,LoanPayCalc!$CC$10:$EK$13,3,FALSE))</f>
        <v>0</v>
      </c>
      <c r="Z34" s="39">
        <f>-IF(Assumptions!$B$36&gt;Z$6,0,HLOOKUP(Z$6,LoanPayCalc!$I$10:$BQ$13,3,FALSE))-IF(Assumptions!$B$40&gt;Z$6,0,HLOOKUP(Z$6,LoanPayCalc!$CC$10:$EK$13,3,FALSE))</f>
        <v>0</v>
      </c>
      <c r="AA34" s="39">
        <f>-IF(Assumptions!$B$36&gt;AA$6,0,HLOOKUP(AA$6,LoanPayCalc!$I$10:$BQ$13,3,FALSE))-IF(Assumptions!$B$40&gt;AA$6,0,HLOOKUP(AA$6,LoanPayCalc!$CC$10:$EK$13,3,FALSE))</f>
        <v>0</v>
      </c>
      <c r="AB34" s="39">
        <f>-IF(Assumptions!$B$36&gt;AB$6,0,HLOOKUP(AB$6,LoanPayCalc!$I$10:$BQ$13,3,FALSE))-IF(Assumptions!$B$40&gt;AB$6,0,HLOOKUP(AB$6,LoanPayCalc!$CC$10:$EK$13,3,FALSE))</f>
        <v>0</v>
      </c>
      <c r="AC34" s="39">
        <f>-IF(Assumptions!$B$36&gt;AC$6,0,HLOOKUP(AC$6,LoanPayCalc!$I$10:$BQ$13,3,FALSE))-IF(Assumptions!$B$40&gt;AC$6,0,HLOOKUP(AC$6,LoanPayCalc!$CC$10:$EK$13,3,FALSE))</f>
        <v>0</v>
      </c>
      <c r="AD34" s="39">
        <f>-IF(Assumptions!$B$36&gt;AD$6,0,HLOOKUP(AD$6,LoanPayCalc!$I$10:$BQ$13,3,FALSE))-IF(Assumptions!$B$40&gt;AD$6,0,HLOOKUP(AD$6,LoanPayCalc!$CC$10:$EK$13,3,FALSE))</f>
        <v>0</v>
      </c>
      <c r="AE34" s="39">
        <f>-IF(Assumptions!$B$36&gt;AE$6,0,HLOOKUP(AE$6,LoanPayCalc!$I$10:$BQ$13,3,FALSE))-IF(Assumptions!$B$40&gt;AE$6,0,HLOOKUP(AE$6,LoanPayCalc!$CC$10:$EK$13,3,FALSE))</f>
        <v>0</v>
      </c>
      <c r="AF34" s="39"/>
      <c r="AG34" s="39">
        <f>-IF(Assumptions!$B$36&gt;AG$6,0,HLOOKUP(AG$6,LoanPayCalc!$I$10:$BQ$13,3,FALSE))-IF(Assumptions!$B$40&gt;AG$6,0,HLOOKUP(AG$6,LoanPayCalc!$CC$10:$EK$13,3,FALSE))</f>
        <v>0</v>
      </c>
      <c r="AH34" s="39">
        <f>-IF(Assumptions!$B$36&gt;AH$6,0,HLOOKUP(AH$6,LoanPayCalc!$I$10:$BQ$13,3,FALSE))-IF(Assumptions!$B$40&gt;AH$6,0,HLOOKUP(AH$6,LoanPayCalc!$CC$10:$EK$13,3,FALSE))</f>
        <v>0</v>
      </c>
      <c r="AI34" s="39">
        <f>-IF(Assumptions!$B$36&gt;AI$6,0,HLOOKUP(AI$6,LoanPayCalc!$I$10:$BQ$13,3,FALSE))-IF(Assumptions!$B$40&gt;AI$6,0,HLOOKUP(AI$6,LoanPayCalc!$CC$10:$EK$13,3,FALSE))</f>
        <v>0</v>
      </c>
      <c r="AJ34" s="39">
        <f>-IF(Assumptions!$B$36&gt;AJ$6,0,HLOOKUP(AJ$6,LoanPayCalc!$I$10:$BQ$13,3,FALSE))-IF(Assumptions!$B$40&gt;AJ$6,0,HLOOKUP(AJ$6,LoanPayCalc!$CC$10:$EK$13,3,FALSE))</f>
        <v>0</v>
      </c>
      <c r="AK34" s="39">
        <f>-IF(Assumptions!$B$36&gt;AK$6,0,HLOOKUP(AK$6,LoanPayCalc!$I$10:$BQ$13,3,FALSE))-IF(Assumptions!$B$40&gt;AK$6,0,HLOOKUP(AK$6,LoanPayCalc!$CC$10:$EK$13,3,FALSE))</f>
        <v>0</v>
      </c>
      <c r="AL34" s="39">
        <f>-IF(Assumptions!$B$36&gt;AL$6,0,HLOOKUP(AL$6,LoanPayCalc!$I$10:$BQ$13,3,FALSE))-IF(Assumptions!$B$40&gt;AL$6,0,HLOOKUP(AL$6,LoanPayCalc!$CC$10:$EK$13,3,FALSE))</f>
        <v>0</v>
      </c>
      <c r="AM34" s="39">
        <f>-IF(Assumptions!$B$36&gt;AM$6,0,HLOOKUP(AM$6,LoanPayCalc!$I$10:$BQ$13,3,FALSE))-IF(Assumptions!$B$40&gt;AM$6,0,HLOOKUP(AM$6,LoanPayCalc!$CC$10:$EK$13,3,FALSE))</f>
        <v>0</v>
      </c>
      <c r="AN34" s="39">
        <f>-IF(Assumptions!$B$36&gt;AN$6,0,HLOOKUP(AN$6,LoanPayCalc!$I$10:$BQ$13,3,FALSE))-IF(Assumptions!$B$40&gt;AN$6,0,HLOOKUP(AN$6,LoanPayCalc!$CC$10:$EK$13,3,FALSE))</f>
        <v>0</v>
      </c>
      <c r="AO34" s="39">
        <f>-IF(Assumptions!$B$36&gt;AO$6,0,HLOOKUP(AO$6,LoanPayCalc!$I$10:$BQ$13,3,FALSE))-IF(Assumptions!$B$40&gt;AO$6,0,HLOOKUP(AO$6,LoanPayCalc!$CC$10:$EK$13,3,FALSE))</f>
        <v>0</v>
      </c>
      <c r="AP34" s="39">
        <f>-IF(Assumptions!$B$36&gt;AP$6,0,HLOOKUP(AP$6,LoanPayCalc!$I$10:$BQ$13,3,FALSE))-IF(Assumptions!$B$40&gt;AP$6,0,HLOOKUP(AP$6,LoanPayCalc!$CC$10:$EK$13,3,FALSE))</f>
        <v>0</v>
      </c>
      <c r="AQ34" s="39">
        <f>-IF(Assumptions!$B$36&gt;AQ$6,0,HLOOKUP(AQ$6,LoanPayCalc!$I$10:$BQ$13,3,FALSE))-IF(Assumptions!$B$40&gt;AQ$6,0,HLOOKUP(AQ$6,LoanPayCalc!$CC$10:$EK$13,3,FALSE))</f>
        <v>0</v>
      </c>
      <c r="AR34" s="39">
        <f>-IF(Assumptions!$B$36&gt;AR$6,0,HLOOKUP(AR$6,LoanPayCalc!$I$10:$BQ$13,3,FALSE))-IF(Assumptions!$B$40&gt;AR$6,0,HLOOKUP(AR$6,LoanPayCalc!$CC$10:$EK$13,3,FALSE))</f>
        <v>0</v>
      </c>
      <c r="AS34" s="39"/>
      <c r="AT34" s="39">
        <f>-IF(Assumptions!$B$36&gt;AT$6,0,HLOOKUP(AT$6,LoanPayCalc!$I$10:$BQ$13,3,FALSE))-IF(Assumptions!$B$40&gt;AT$6,0,HLOOKUP(AT$6,LoanPayCalc!$CC$10:$EK$13,3,FALSE))</f>
        <v>0</v>
      </c>
      <c r="AU34" s="39">
        <f>-IF(Assumptions!$B$36&gt;AU$6,0,HLOOKUP(AU$6,LoanPayCalc!$I$10:$BQ$13,3,FALSE))-IF(Assumptions!$B$40&gt;AU$6,0,HLOOKUP(AU$6,LoanPayCalc!$CC$10:$EK$13,3,FALSE))</f>
        <v>0</v>
      </c>
      <c r="AV34" s="39">
        <f>-IF(Assumptions!$B$36&gt;AV$6,0,HLOOKUP(AV$6,LoanPayCalc!$I$10:$BQ$13,3,FALSE))-IF(Assumptions!$B$40&gt;AV$6,0,HLOOKUP(AV$6,LoanPayCalc!$CC$10:$EK$13,3,FALSE))</f>
        <v>0</v>
      </c>
      <c r="AW34" s="39">
        <f>-IF(Assumptions!$B$36&gt;AW$6,0,HLOOKUP(AW$6,LoanPayCalc!$I$10:$BQ$13,3,FALSE))-IF(Assumptions!$B$40&gt;AW$6,0,HLOOKUP(AW$6,LoanPayCalc!$CC$10:$EK$13,3,FALSE))</f>
        <v>0</v>
      </c>
      <c r="AX34" s="39">
        <f>-IF(Assumptions!$B$36&gt;AX$6,0,HLOOKUP(AX$6,LoanPayCalc!$I$10:$BQ$13,3,FALSE))-IF(Assumptions!$B$40&gt;AX$6,0,HLOOKUP(AX$6,LoanPayCalc!$CC$10:$EK$13,3,FALSE))</f>
        <v>0</v>
      </c>
      <c r="AY34" s="39">
        <f>-IF(Assumptions!$B$36&gt;AY$6,0,HLOOKUP(AY$6,LoanPayCalc!$I$10:$BQ$13,3,FALSE))-IF(Assumptions!$B$40&gt;AY$6,0,HLOOKUP(AY$6,LoanPayCalc!$CC$10:$EK$13,3,FALSE))</f>
        <v>0</v>
      </c>
      <c r="AZ34" s="39">
        <f>-IF(Assumptions!$B$36&gt;AZ$6,0,HLOOKUP(AZ$6,LoanPayCalc!$I$10:$BQ$13,3,FALSE))-IF(Assumptions!$B$40&gt;AZ$6,0,HLOOKUP(AZ$6,LoanPayCalc!$CC$10:$EK$13,3,FALSE))</f>
        <v>0</v>
      </c>
      <c r="BA34" s="39">
        <f>-IF(Assumptions!$B$36&gt;BA$6,0,HLOOKUP(BA$6,LoanPayCalc!$I$10:$BQ$13,3,FALSE))-IF(Assumptions!$B$40&gt;BA$6,0,HLOOKUP(BA$6,LoanPayCalc!$CC$10:$EK$13,3,FALSE))</f>
        <v>0</v>
      </c>
      <c r="BB34" s="39">
        <f>-IF(Assumptions!$B$36&gt;BB$6,0,HLOOKUP(BB$6,LoanPayCalc!$I$10:$BQ$13,3,FALSE))-IF(Assumptions!$B$40&gt;BB$6,0,HLOOKUP(BB$6,LoanPayCalc!$CC$10:$EK$13,3,FALSE))</f>
        <v>0</v>
      </c>
      <c r="BC34" s="39">
        <f>-IF(Assumptions!$B$36&gt;BC$6,0,HLOOKUP(BC$6,LoanPayCalc!$I$10:$BQ$13,3,FALSE))-IF(Assumptions!$B$40&gt;BC$6,0,HLOOKUP(BC$6,LoanPayCalc!$CC$10:$EK$13,3,FALSE))</f>
        <v>0</v>
      </c>
      <c r="BD34" s="39">
        <f>-IF(Assumptions!$B$36&gt;BD$6,0,HLOOKUP(BD$6,LoanPayCalc!$I$10:$BQ$13,3,FALSE))-IF(Assumptions!$B$40&gt;BD$6,0,HLOOKUP(BD$6,LoanPayCalc!$CC$10:$EK$13,3,FALSE))</f>
        <v>0</v>
      </c>
      <c r="BE34" s="39">
        <f>-IF(Assumptions!$B$36&gt;BE$6,0,HLOOKUP(BE$6,LoanPayCalc!$I$10:$BQ$13,3,FALSE))-IF(Assumptions!$B$40&gt;BE$6,0,HLOOKUP(BE$6,LoanPayCalc!$CC$10:$EK$13,3,FALSE))</f>
        <v>0</v>
      </c>
      <c r="BF34" s="39"/>
      <c r="BG34" s="39">
        <f>-IF(Assumptions!$B$36&gt;BG$6,0,HLOOKUP(BG$6,LoanPayCalc!$I$10:$BQ$13,3,FALSE))-IF(Assumptions!$B$40&gt;BG$6,0,HLOOKUP(BG$6,LoanPayCalc!$CC$10:$EK$13,3,FALSE))</f>
        <v>0</v>
      </c>
      <c r="BH34" s="39">
        <f>-IF(Assumptions!$B$36&gt;BH$6,0,HLOOKUP(BH$6,LoanPayCalc!$I$10:$BQ$13,3,FALSE))-IF(Assumptions!$B$40&gt;BH$6,0,HLOOKUP(BH$6,LoanPayCalc!$CC$10:$EK$13,3,FALSE))</f>
        <v>0</v>
      </c>
      <c r="BI34" s="39">
        <f>-IF(Assumptions!$B$36&gt;BI$6,0,HLOOKUP(BI$6,LoanPayCalc!$I$10:$BQ$13,3,FALSE))-IF(Assumptions!$B$40&gt;BI$6,0,HLOOKUP(BI$6,LoanPayCalc!$CC$10:$EK$13,3,FALSE))</f>
        <v>0</v>
      </c>
      <c r="BJ34" s="39">
        <f>-IF(Assumptions!$B$36&gt;BJ$6,0,HLOOKUP(BJ$6,LoanPayCalc!$I$10:$BQ$13,3,FALSE))-IF(Assumptions!$B$40&gt;BJ$6,0,HLOOKUP(BJ$6,LoanPayCalc!$CC$10:$EK$13,3,FALSE))</f>
        <v>0</v>
      </c>
      <c r="BK34" s="39">
        <f>-IF(Assumptions!$B$36&gt;BK$6,0,HLOOKUP(BK$6,LoanPayCalc!$I$10:$BQ$13,3,FALSE))-IF(Assumptions!$B$40&gt;BK$6,0,HLOOKUP(BK$6,LoanPayCalc!$CC$10:$EK$13,3,FALSE))</f>
        <v>0</v>
      </c>
      <c r="BL34" s="39">
        <f>-IF(Assumptions!$B$36&gt;BL$6,0,HLOOKUP(BL$6,LoanPayCalc!$I$10:$BQ$13,3,FALSE))-IF(Assumptions!$B$40&gt;BL$6,0,HLOOKUP(BL$6,LoanPayCalc!$CC$10:$EK$13,3,FALSE))</f>
        <v>0</v>
      </c>
      <c r="BM34" s="39">
        <f>-IF(Assumptions!$B$36&gt;BM$6,0,HLOOKUP(BM$6,LoanPayCalc!$I$10:$BQ$13,3,FALSE))-IF(Assumptions!$B$40&gt;BM$6,0,HLOOKUP(BM$6,LoanPayCalc!$CC$10:$EK$13,3,FALSE))</f>
        <v>0</v>
      </c>
      <c r="BN34" s="39">
        <f>-IF(Assumptions!$B$36&gt;BN$6,0,HLOOKUP(BN$6,LoanPayCalc!$I$10:$BQ$13,3,FALSE))-IF(Assumptions!$B$40&gt;BN$6,0,HLOOKUP(BN$6,LoanPayCalc!$CC$10:$EK$13,3,FALSE))</f>
        <v>0</v>
      </c>
      <c r="BO34" s="39">
        <f>-IF(Assumptions!$B$36&gt;BO$6,0,HLOOKUP(BO$6,LoanPayCalc!$I$10:$BQ$13,3,FALSE))-IF(Assumptions!$B$40&gt;BO$6,0,HLOOKUP(BO$6,LoanPayCalc!$CC$10:$EK$13,3,FALSE))</f>
        <v>0</v>
      </c>
      <c r="BP34" s="39">
        <f>-IF(Assumptions!$B$36&gt;BP$6,0,HLOOKUP(BP$6,LoanPayCalc!$I$10:$BQ$13,3,FALSE))-IF(Assumptions!$B$40&gt;BP$6,0,HLOOKUP(BP$6,LoanPayCalc!$CC$10:$EK$13,3,FALSE))</f>
        <v>0</v>
      </c>
      <c r="BQ34" s="39">
        <f>-IF(Assumptions!$B$36&gt;BQ$6,0,HLOOKUP(BQ$6,LoanPayCalc!$I$10:$BQ$13,3,FALSE))-IF(Assumptions!$B$40&gt;BQ$6,0,HLOOKUP(BQ$6,LoanPayCalc!$CC$10:$EK$13,3,FALSE))</f>
        <v>0</v>
      </c>
      <c r="BR34" s="39">
        <f>-IF(Assumptions!$B$36&gt;BR$6,0,HLOOKUP(BR$6,LoanPayCalc!$I$10:$BQ$13,3,FALSE))-IF(Assumptions!$B$40&gt;BR$6,0,HLOOKUP(BR$6,LoanPayCalc!$CC$10:$EK$13,3,FALSE))</f>
        <v>0</v>
      </c>
      <c r="BS34" s="39"/>
      <c r="BT34" s="17"/>
    </row>
    <row r="35" spans="1:72" ht="15.75" customHeight="1">
      <c r="A35" s="16"/>
      <c r="B35" s="17" t="s">
        <v>88</v>
      </c>
      <c r="C35" s="17"/>
      <c r="D35" s="17"/>
      <c r="E35" s="17"/>
      <c r="F35" s="17"/>
      <c r="G35" s="39">
        <f>IF(G$6=Assumptions!$B36,Assumptions!$B34,0)+IF(G$6=Assumptions!$B40,Assumptions!$B38,0)</f>
        <v>0</v>
      </c>
      <c r="H35" s="39">
        <f>IF(H$6=Assumptions!$B36,Assumptions!$B34,0)+IF(H$6=Assumptions!$B40,Assumptions!$B38,0)</f>
        <v>0</v>
      </c>
      <c r="I35" s="39">
        <f>IF(I$6=Assumptions!$B36,Assumptions!$B34,0)+IF(I$6=Assumptions!$B40,Assumptions!$B38,0)</f>
        <v>0</v>
      </c>
      <c r="J35" s="39">
        <f>IF(J$6=Assumptions!$B36,Assumptions!$B34,0)+IF(J$6=Assumptions!$B40,Assumptions!$B38,0)</f>
        <v>0</v>
      </c>
      <c r="K35" s="39">
        <f>IF(K$6=Assumptions!$B36,Assumptions!$B34,0)+IF(K$6=Assumptions!$B40,Assumptions!$B38,0)</f>
        <v>0</v>
      </c>
      <c r="L35" s="39">
        <f>IF(L$6=Assumptions!$B36,Assumptions!$B34,0)+IF(L$6=Assumptions!$B40,Assumptions!$B38,0)</f>
        <v>0</v>
      </c>
      <c r="M35" s="39">
        <f>IF(M$6=Assumptions!$B36,Assumptions!$B34,0)+IF(M$6=Assumptions!$B40,Assumptions!$B38,0)</f>
        <v>0</v>
      </c>
      <c r="N35" s="39">
        <f>IF(N$6=Assumptions!$B36,Assumptions!$B34,0)+IF(N$6=Assumptions!$B40,Assumptions!$B38,0)</f>
        <v>0</v>
      </c>
      <c r="O35" s="39">
        <f>IF(O$6=Assumptions!$B36,Assumptions!$B34,0)+IF(O$6=Assumptions!$B40,Assumptions!$B38,0)</f>
        <v>0</v>
      </c>
      <c r="P35" s="39">
        <f>IF(P$6=Assumptions!$B36,Assumptions!$B34,0)+IF(P$6=Assumptions!$B40,Assumptions!$B38,0)</f>
        <v>0</v>
      </c>
      <c r="Q35" s="39">
        <f>IF(Q$6=Assumptions!$B36,Assumptions!$B34,0)+IF(Q$6=Assumptions!$B40,Assumptions!$B38,0)</f>
        <v>0</v>
      </c>
      <c r="R35" s="39">
        <f>IF(R$6=Assumptions!$B36,Assumptions!$B34,0)+IF(R$6=Assumptions!$B40,Assumptions!$B38,0)</f>
        <v>0</v>
      </c>
      <c r="S35" s="39"/>
      <c r="T35" s="39">
        <f>IF(T$6=Assumptions!$B36,Assumptions!$B34,0)+IF(T$6=Assumptions!$B40,Assumptions!$B38,0)</f>
        <v>0</v>
      </c>
      <c r="U35" s="39">
        <f>IF(U$6=Assumptions!$B36,Assumptions!$B34,0)+IF(U$6=Assumptions!$B40,Assumptions!$B38,0)</f>
        <v>0</v>
      </c>
      <c r="V35" s="39">
        <f>IF(V$6=Assumptions!$B36,Assumptions!$B34,0)+IF(V$6=Assumptions!$B40,Assumptions!$B38,0)</f>
        <v>0</v>
      </c>
      <c r="W35" s="39">
        <f>IF(W$6=Assumptions!$B36,Assumptions!$B34,0)+IF(W$6=Assumptions!$B40,Assumptions!$B38,0)</f>
        <v>0</v>
      </c>
      <c r="X35" s="39">
        <f>IF(X$6=Assumptions!$B36,Assumptions!$B34,0)+IF(X$6=Assumptions!$B40,Assumptions!$B38,0)</f>
        <v>0</v>
      </c>
      <c r="Y35" s="39">
        <f>IF(Y$6=Assumptions!$B36,Assumptions!$B34,0)+IF(Y$6=Assumptions!$B40,Assumptions!$B38,0)</f>
        <v>0</v>
      </c>
      <c r="Z35" s="39">
        <f>IF(Z$6=Assumptions!$B36,Assumptions!$B34,0)+IF(Z$6=Assumptions!$B40,Assumptions!$B38,0)</f>
        <v>0</v>
      </c>
      <c r="AA35" s="39">
        <f>IF(AA$6=Assumptions!$B36,Assumptions!$B34,0)+IF(AA$6=Assumptions!$B40,Assumptions!$B38,0)</f>
        <v>0</v>
      </c>
      <c r="AB35" s="39">
        <f>IF(AB$6=Assumptions!$B36,Assumptions!$B34,0)+IF(AB$6=Assumptions!$B40,Assumptions!$B38,0)</f>
        <v>0</v>
      </c>
      <c r="AC35" s="39">
        <f>IF(AC$6=Assumptions!$B36,Assumptions!$B34,0)+IF(AC$6=Assumptions!$B40,Assumptions!$B38,0)</f>
        <v>0</v>
      </c>
      <c r="AD35" s="39">
        <f>IF(AD$6=Assumptions!$B36,Assumptions!$B34,0)+IF(AD$6=Assumptions!$B40,Assumptions!$B38,0)</f>
        <v>0</v>
      </c>
      <c r="AE35" s="39">
        <f>IF(AE$6=Assumptions!$B36,Assumptions!$B34,0)+IF(AE$6=Assumptions!$B40,Assumptions!$B38,0)</f>
        <v>0</v>
      </c>
      <c r="AF35" s="39"/>
      <c r="AG35" s="39">
        <f>IF(AG$6=Assumptions!$B36,Assumptions!$B34,0)+IF(AG$6=Assumptions!$B40,Assumptions!$B38,0)</f>
        <v>0</v>
      </c>
      <c r="AH35" s="39">
        <f>IF(AH$6=Assumptions!$B36,Assumptions!$B34,0)+IF(AH$6=Assumptions!$B40,Assumptions!$B38,0)</f>
        <v>0</v>
      </c>
      <c r="AI35" s="39">
        <f>IF(AI$6=Assumptions!$B36,Assumptions!$B34,0)+IF(AI$6=Assumptions!$B40,Assumptions!$B38,0)</f>
        <v>0</v>
      </c>
      <c r="AJ35" s="39">
        <f>IF(AJ$6=Assumptions!$B36,Assumptions!$B34,0)+IF(AJ$6=Assumptions!$B40,Assumptions!$B38,0)</f>
        <v>0</v>
      </c>
      <c r="AK35" s="39">
        <f>IF(AK$6=Assumptions!$B36,Assumptions!$B34,0)+IF(AK$6=Assumptions!$B40,Assumptions!$B38,0)</f>
        <v>0</v>
      </c>
      <c r="AL35" s="39">
        <f>IF(AL$6=Assumptions!$B36,Assumptions!$B34,0)+IF(AL$6=Assumptions!$B40,Assumptions!$B38,0)</f>
        <v>0</v>
      </c>
      <c r="AM35" s="39">
        <f>IF(AM$6=Assumptions!$B36,Assumptions!$B34,0)+IF(AM$6=Assumptions!$B40,Assumptions!$B38,0)</f>
        <v>0</v>
      </c>
      <c r="AN35" s="39">
        <f>IF(AN$6=Assumptions!$B36,Assumptions!$B34,0)+IF(AN$6=Assumptions!$B40,Assumptions!$B38,0)</f>
        <v>0</v>
      </c>
      <c r="AO35" s="39">
        <f>IF(AO$6=Assumptions!$B36,Assumptions!$B34,0)+IF(AO$6=Assumptions!$B40,Assumptions!$B38,0)</f>
        <v>0</v>
      </c>
      <c r="AP35" s="39">
        <f>IF(AP$6=Assumptions!$B36,Assumptions!$B34,0)+IF(AP$6=Assumptions!$B40,Assumptions!$B38,0)</f>
        <v>0</v>
      </c>
      <c r="AQ35" s="39">
        <f>IF(AQ$6=Assumptions!$B36,Assumptions!$B34,0)+IF(AQ$6=Assumptions!$B40,Assumptions!$B38,0)</f>
        <v>0</v>
      </c>
      <c r="AR35" s="39">
        <f>IF(AR$6=Assumptions!$B36,Assumptions!$B34,0)+IF(AR$6=Assumptions!$B40,Assumptions!$B38,0)</f>
        <v>0</v>
      </c>
      <c r="AS35" s="39"/>
      <c r="AT35" s="39">
        <f>IF(AT$6=Assumptions!$B36,Assumptions!$B34,0)+IF(AT$6=Assumptions!$B40,Assumptions!$B38,0)</f>
        <v>0</v>
      </c>
      <c r="AU35" s="39">
        <f>IF(AU$6=Assumptions!$B36,Assumptions!$B34,0)+IF(AU$6=Assumptions!$B40,Assumptions!$B38,0)</f>
        <v>0</v>
      </c>
      <c r="AV35" s="39">
        <f>IF(AV$6=Assumptions!$B36,Assumptions!$B34,0)+IF(AV$6=Assumptions!$B40,Assumptions!$B38,0)</f>
        <v>0</v>
      </c>
      <c r="AW35" s="39">
        <f>IF(AW$6=Assumptions!$B36,Assumptions!$B34,0)+IF(AW$6=Assumptions!$B40,Assumptions!$B38,0)</f>
        <v>0</v>
      </c>
      <c r="AX35" s="39">
        <f>IF(AX$6=Assumptions!$B36,Assumptions!$B34,0)+IF(AX$6=Assumptions!$B40,Assumptions!$B38,0)</f>
        <v>0</v>
      </c>
      <c r="AY35" s="39">
        <f>IF(AY$6=Assumptions!$B36,Assumptions!$B34,0)+IF(AY$6=Assumptions!$B40,Assumptions!$B38,0)</f>
        <v>0</v>
      </c>
      <c r="AZ35" s="39">
        <f>IF(AZ$6=Assumptions!$B36,Assumptions!$B34,0)+IF(AZ$6=Assumptions!$B40,Assumptions!$B38,0)</f>
        <v>0</v>
      </c>
      <c r="BA35" s="39">
        <f>IF(BA$6=Assumptions!$B36,Assumptions!$B34,0)+IF(BA$6=Assumptions!$B40,Assumptions!$B38,0)</f>
        <v>0</v>
      </c>
      <c r="BB35" s="39">
        <f>IF(BB$6=Assumptions!$B36,Assumptions!$B34,0)+IF(BB$6=Assumptions!$B40,Assumptions!$B38,0)</f>
        <v>0</v>
      </c>
      <c r="BC35" s="39">
        <f>IF(BC$6=Assumptions!$B36,Assumptions!$B34,0)+IF(BC$6=Assumptions!$B40,Assumptions!$B38,0)</f>
        <v>0</v>
      </c>
      <c r="BD35" s="39">
        <f>IF(BD$6=Assumptions!$B36,Assumptions!$B34,0)+IF(BD$6=Assumptions!$B40,Assumptions!$B38,0)</f>
        <v>0</v>
      </c>
      <c r="BE35" s="39">
        <f>IF(BE$6=Assumptions!$B36,Assumptions!$B34,0)+IF(BE$6=Assumptions!$B40,Assumptions!$B38,0)</f>
        <v>0</v>
      </c>
      <c r="BF35" s="39"/>
      <c r="BG35" s="39">
        <f>IF(BG$6=Assumptions!$B36,Assumptions!$B34,0)+IF(BG$6=Assumptions!$B40,Assumptions!$B38,0)</f>
        <v>0</v>
      </c>
      <c r="BH35" s="39">
        <f>IF(BH$6=Assumptions!$B36,Assumptions!$B34,0)+IF(BH$6=Assumptions!$B40,Assumptions!$B38,0)</f>
        <v>0</v>
      </c>
      <c r="BI35" s="39">
        <f>IF(BI$6=Assumptions!$B36,Assumptions!$B34,0)+IF(BI$6=Assumptions!$B40,Assumptions!$B38,0)</f>
        <v>0</v>
      </c>
      <c r="BJ35" s="39">
        <f>IF(BJ$6=Assumptions!$B36,Assumptions!$B34,0)+IF(BJ$6=Assumptions!$B40,Assumptions!$B38,0)</f>
        <v>0</v>
      </c>
      <c r="BK35" s="39">
        <f>IF(BK$6=Assumptions!$B36,Assumptions!$B34,0)+IF(BK$6=Assumptions!$B40,Assumptions!$B38,0)</f>
        <v>0</v>
      </c>
      <c r="BL35" s="39">
        <f>IF(BL$6=Assumptions!$B36,Assumptions!$B34,0)+IF(BL$6=Assumptions!$B40,Assumptions!$B38,0)</f>
        <v>0</v>
      </c>
      <c r="BM35" s="39">
        <f>IF(BM$6=Assumptions!$B36,Assumptions!$B34,0)+IF(BM$6=Assumptions!$B40,Assumptions!$B38,0)</f>
        <v>0</v>
      </c>
      <c r="BN35" s="39">
        <f>IF(BN$6=Assumptions!$B36,Assumptions!$B34,0)+IF(BN$6=Assumptions!$B40,Assumptions!$B38,0)</f>
        <v>0</v>
      </c>
      <c r="BO35" s="39">
        <f>IF(BO$6=Assumptions!$B36,Assumptions!$B34,0)+IF(BO$6=Assumptions!$B40,Assumptions!$B38,0)</f>
        <v>0</v>
      </c>
      <c r="BP35" s="39">
        <f>IF(BP$6=Assumptions!$B36,Assumptions!$B34,0)+IF(BP$6=Assumptions!$B40,Assumptions!$B38,0)</f>
        <v>0</v>
      </c>
      <c r="BQ35" s="39">
        <f>IF(BQ$6=Assumptions!$B36,Assumptions!$B34,0)+IF(BQ$6=Assumptions!$B40,Assumptions!$B38,0)</f>
        <v>0</v>
      </c>
      <c r="BR35" s="39">
        <f>IF(BR$6=Assumptions!$B36,Assumptions!$B34,0)+IF(BR$6=Assumptions!$B40,Assumptions!$B38,0)</f>
        <v>0</v>
      </c>
      <c r="BS35" s="39"/>
      <c r="BT35" s="17"/>
    </row>
    <row r="36" spans="1:72" ht="15.75" customHeight="1">
      <c r="A36" s="16"/>
      <c r="B36" s="17" t="s">
        <v>89</v>
      </c>
      <c r="C36" s="17"/>
      <c r="D36" s="17"/>
      <c r="E36" s="17"/>
      <c r="F36" s="17"/>
      <c r="G36" s="39">
        <f>IF(G$6=Assumptions!$B13,Assumptions!$B12,0)+IF(G$6=Assumptions!$B19,Assumptions!$B18,0)+IF(G$6=Assumptions!$B21,Assumptions!$B20,0)+IF(G$6=Assumptions!$B25,Assumptions!$B24,0)+IF(G$6=Assumptions!$B27,Assumptions!$B26,0)+IF(G$6=Assumptions!$B29,Assumptions!$B28,0)+IF(G$6=Assumptions!$B31,Assumptions!$B30,0)</f>
        <v>300000</v>
      </c>
      <c r="H36" s="39">
        <f>IF(H$6=Assumptions!$B13,Assumptions!$B12,0)+IF(H$6=Assumptions!$B19,Assumptions!$B18,0)+IF(H$6=Assumptions!$B21,Assumptions!$B20,0)+IF(H$6=Assumptions!$B25,Assumptions!$B24,0)+IF(H$6=Assumptions!$B27,Assumptions!$B26,0)+IF(H$6=Assumptions!$B29,Assumptions!$B28,0)+IF(H$6=Assumptions!$B31,Assumptions!$B30,0)</f>
        <v>0</v>
      </c>
      <c r="I36" s="39">
        <f>IF(I$6=Assumptions!$B13,Assumptions!$B12,0)+IF(I$6=Assumptions!$B19,Assumptions!$B18,0)+IF(I$6=Assumptions!$B21,Assumptions!$B20,0)+IF(I$6=Assumptions!$B25,Assumptions!$B24,0)+IF(I$6=Assumptions!$B27,Assumptions!$B26,0)+IF(I$6=Assumptions!$B29,Assumptions!$B28,0)+IF(I$6=Assumptions!$B31,Assumptions!$B30,0)</f>
        <v>0</v>
      </c>
      <c r="J36" s="39">
        <f>IF(J$6=Assumptions!$B13,Assumptions!$B12,0)+IF(J$6=Assumptions!$B19,Assumptions!$B18,0)+IF(J$6=Assumptions!$B21,Assumptions!$B20,0)+IF(J$6=Assumptions!$B25,Assumptions!$B24,0)+IF(J$6=Assumptions!$B27,Assumptions!$B26,0)+IF(J$6=Assumptions!$B29,Assumptions!$B28,0)+IF(J$6=Assumptions!$B31,Assumptions!$B30,0)</f>
        <v>0</v>
      </c>
      <c r="K36" s="39">
        <f>IF(K$6=Assumptions!$B13,Assumptions!$B12,0)+IF(K$6=Assumptions!$B19,Assumptions!$B18,0)+IF(K$6=Assumptions!$B21,Assumptions!$B20,0)+IF(K$6=Assumptions!$B25,Assumptions!$B24,0)+IF(K$6=Assumptions!$B27,Assumptions!$B26,0)+IF(K$6=Assumptions!$B29,Assumptions!$B28,0)+IF(K$6=Assumptions!$B31,Assumptions!$B30,0)</f>
        <v>0</v>
      </c>
      <c r="L36" s="39">
        <f>IF(L$6=Assumptions!$B13,Assumptions!$B12,0)+IF(L$6=Assumptions!$B19,Assumptions!$B18,0)+IF(L$6=Assumptions!$B21,Assumptions!$B20,0)+IF(L$6=Assumptions!$B25,Assumptions!$B24,0)+IF(L$6=Assumptions!$B27,Assumptions!$B26,0)+IF(L$6=Assumptions!$B29,Assumptions!$B28,0)+IF(L$6=Assumptions!$B31,Assumptions!$B30,0)</f>
        <v>0</v>
      </c>
      <c r="M36" s="39">
        <f>IF(M$6=Assumptions!$B13,Assumptions!$B12,0)+IF(M$6=Assumptions!$B19,Assumptions!$B18,0)+IF(M$6=Assumptions!$B21,Assumptions!$B20,0)+IF(M$6=Assumptions!$B25,Assumptions!$B24,0)+IF(M$6=Assumptions!$B27,Assumptions!$B26,0)+IF(M$6=Assumptions!$B29,Assumptions!$B28,0)+IF(M$6=Assumptions!$B31,Assumptions!$B30,0)</f>
        <v>0</v>
      </c>
      <c r="N36" s="39">
        <f>IF(N$6=Assumptions!$B13,Assumptions!$B12,0)+IF(N$6=Assumptions!$B19,Assumptions!$B18,0)+IF(N$6=Assumptions!$B21,Assumptions!$B20,0)+IF(N$6=Assumptions!$B25,Assumptions!$B24,0)+IF(N$6=Assumptions!$B27,Assumptions!$B26,0)+IF(N$6=Assumptions!$B29,Assumptions!$B28,0)+IF(N$6=Assumptions!$B31,Assumptions!$B30,0)</f>
        <v>0</v>
      </c>
      <c r="O36" s="39">
        <f>IF(O$6=Assumptions!$B13,Assumptions!$B12,0)+IF(O$6=Assumptions!$B19,Assumptions!$B18,0)+IF(O$6=Assumptions!$B21,Assumptions!$B20,0)+IF(O$6=Assumptions!$B25,Assumptions!$B24,0)+IF(O$6=Assumptions!$B27,Assumptions!$B26,0)+IF(O$6=Assumptions!$B29,Assumptions!$B28,0)+IF(O$6=Assumptions!$B31,Assumptions!$B30,0)</f>
        <v>0</v>
      </c>
      <c r="P36" s="39">
        <f>IF(P$6=Assumptions!$B13,Assumptions!$B12,0)+IF(P$6=Assumptions!$B19,Assumptions!$B18,0)+IF(P$6=Assumptions!$B21,Assumptions!$B20,0)+IF(P$6=Assumptions!$B25,Assumptions!$B24,0)+IF(P$6=Assumptions!$B27,Assumptions!$B26,0)+IF(P$6=Assumptions!$B29,Assumptions!$B28,0)+IF(P$6=Assumptions!$B31,Assumptions!$B30,0)</f>
        <v>0</v>
      </c>
      <c r="Q36" s="39">
        <f>IF(Q$6=Assumptions!$B13,Assumptions!$B12,0)+IF(Q$6=Assumptions!$B19,Assumptions!$B18,0)+IF(Q$6=Assumptions!$B21,Assumptions!$B20,0)+IF(Q$6=Assumptions!$B25,Assumptions!$B24,0)+IF(Q$6=Assumptions!$B27,Assumptions!$B26,0)+IF(Q$6=Assumptions!$B29,Assumptions!$B28,0)+IF(Q$6=Assumptions!$B31,Assumptions!$B30,0)</f>
        <v>0</v>
      </c>
      <c r="R36" s="39">
        <f>IF(R$6=Assumptions!$B13,Assumptions!$B12,0)+IF(R$6=Assumptions!$B19,Assumptions!$B18,0)+IF(R$6=Assumptions!$B21,Assumptions!$B20,0)+IF(R$6=Assumptions!$B25,Assumptions!$B24,0)+IF(R$6=Assumptions!$B27,Assumptions!$B26,0)+IF(R$6=Assumptions!$B29,Assumptions!$B28,0)+IF(R$6=Assumptions!$B31,Assumptions!$B30,0)</f>
        <v>0</v>
      </c>
      <c r="S36" s="39"/>
      <c r="T36" s="39">
        <f>IF(T$6=Assumptions!$B13,Assumptions!$B12,0)+IF(T$6=Assumptions!$B19,Assumptions!$B18,0)+IF(T$6=Assumptions!$B21,Assumptions!$B20,0)+IF(T$6=Assumptions!$B25,Assumptions!$B24,0)+IF(T$6=Assumptions!$B27,Assumptions!$B26,0)+IF(T$6=Assumptions!$B29,Assumptions!$B28,0)+IF(T$6=Assumptions!$B31,Assumptions!$B30,0)</f>
        <v>0</v>
      </c>
      <c r="U36" s="39">
        <f>IF(U$6=Assumptions!$B13,Assumptions!$B12,0)+IF(U$6=Assumptions!$B19,Assumptions!$B18,0)+IF(U$6=Assumptions!$B21,Assumptions!$B20,0)+IF(U$6=Assumptions!$B25,Assumptions!$B24,0)+IF(U$6=Assumptions!$B27,Assumptions!$B26,0)+IF(U$6=Assumptions!$B29,Assumptions!$B28,0)+IF(U$6=Assumptions!$B31,Assumptions!$B30,0)</f>
        <v>0</v>
      </c>
      <c r="V36" s="39">
        <f>IF(V$6=Assumptions!$B13,Assumptions!$B12,0)+IF(V$6=Assumptions!$B19,Assumptions!$B18,0)+IF(V$6=Assumptions!$B21,Assumptions!$B20,0)+IF(V$6=Assumptions!$B25,Assumptions!$B24,0)+IF(V$6=Assumptions!$B27,Assumptions!$B26,0)+IF(V$6=Assumptions!$B29,Assumptions!$B28,0)+IF(V$6=Assumptions!$B31,Assumptions!$B30,0)</f>
        <v>0</v>
      </c>
      <c r="W36" s="39">
        <f>IF(W$6=Assumptions!$B13,Assumptions!$B12,0)+IF(W$6=Assumptions!$B19,Assumptions!$B18,0)+IF(W$6=Assumptions!$B21,Assumptions!$B20,0)+IF(W$6=Assumptions!$B25,Assumptions!$B24,0)+IF(W$6=Assumptions!$B27,Assumptions!$B26,0)+IF(W$6=Assumptions!$B29,Assumptions!$B28,0)+IF(W$6=Assumptions!$B31,Assumptions!$B30,0)</f>
        <v>0</v>
      </c>
      <c r="X36" s="39">
        <f>IF(X$6=Assumptions!$B13,Assumptions!$B12,0)+IF(X$6=Assumptions!$B19,Assumptions!$B18,0)+IF(X$6=Assumptions!$B21,Assumptions!$B20,0)+IF(X$6=Assumptions!$B25,Assumptions!$B24,0)+IF(X$6=Assumptions!$B27,Assumptions!$B26,0)+IF(X$6=Assumptions!$B29,Assumptions!$B28,0)+IF(X$6=Assumptions!$B31,Assumptions!$B30,0)</f>
        <v>0</v>
      </c>
      <c r="Y36" s="39">
        <f>IF(Y$6=Assumptions!$B13,Assumptions!$B12,0)+IF(Y$6=Assumptions!$B19,Assumptions!$B18,0)+IF(Y$6=Assumptions!$B21,Assumptions!$B20,0)+IF(Y$6=Assumptions!$B25,Assumptions!$B24,0)+IF(Y$6=Assumptions!$B27,Assumptions!$B26,0)+IF(Y$6=Assumptions!$B29,Assumptions!$B28,0)+IF(Y$6=Assumptions!$B31,Assumptions!$B30,0)</f>
        <v>0</v>
      </c>
      <c r="Z36" s="39">
        <f>IF(Z$6=Assumptions!$B13,Assumptions!$B12,0)+IF(Z$6=Assumptions!$B19,Assumptions!$B18,0)+IF(Z$6=Assumptions!$B21,Assumptions!$B20,0)+IF(Z$6=Assumptions!$B25,Assumptions!$B24,0)+IF(Z$6=Assumptions!$B27,Assumptions!$B26,0)+IF(Z$6=Assumptions!$B29,Assumptions!$B28,0)+IF(Z$6=Assumptions!$B31,Assumptions!$B30,0)</f>
        <v>0</v>
      </c>
      <c r="AA36" s="39">
        <f>IF(AA$6=Assumptions!$B13,Assumptions!$B12,0)+IF(AA$6=Assumptions!$B19,Assumptions!$B18,0)+IF(AA$6=Assumptions!$B21,Assumptions!$B20,0)+IF(AA$6=Assumptions!$B25,Assumptions!$B24,0)+IF(AA$6=Assumptions!$B27,Assumptions!$B26,0)+IF(AA$6=Assumptions!$B29,Assumptions!$B28,0)+IF(AA$6=Assumptions!$B31,Assumptions!$B30,0)</f>
        <v>0</v>
      </c>
      <c r="AB36" s="39">
        <f>IF(AB$6=Assumptions!$B13,Assumptions!$B12,0)+IF(AB$6=Assumptions!$B19,Assumptions!$B18,0)+IF(AB$6=Assumptions!$B21,Assumptions!$B20,0)+IF(AB$6=Assumptions!$B25,Assumptions!$B24,0)+IF(AB$6=Assumptions!$B27,Assumptions!$B26,0)+IF(AB$6=Assumptions!$B29,Assumptions!$B28,0)+IF(AB$6=Assumptions!$B31,Assumptions!$B30,0)</f>
        <v>0</v>
      </c>
      <c r="AC36" s="39">
        <f>IF(AC$6=Assumptions!$B13,Assumptions!$B12,0)+IF(AC$6=Assumptions!$B19,Assumptions!$B18,0)+IF(AC$6=Assumptions!$B21,Assumptions!$B20,0)+IF(AC$6=Assumptions!$B25,Assumptions!$B24,0)+IF(AC$6=Assumptions!$B27,Assumptions!$B26,0)+IF(AC$6=Assumptions!$B29,Assumptions!$B28,0)+IF(AC$6=Assumptions!$B31,Assumptions!$B30,0)</f>
        <v>0</v>
      </c>
      <c r="AD36" s="39">
        <f>IF(AD$6=Assumptions!$B13,Assumptions!$B12,0)+IF(AD$6=Assumptions!$B19,Assumptions!$B18,0)+IF(AD$6=Assumptions!$B21,Assumptions!$B20,0)+IF(AD$6=Assumptions!$B25,Assumptions!$B24,0)+IF(AD$6=Assumptions!$B27,Assumptions!$B26,0)+IF(AD$6=Assumptions!$B29,Assumptions!$B28,0)+IF(AD$6=Assumptions!$B31,Assumptions!$B30,0)</f>
        <v>0</v>
      </c>
      <c r="AE36" s="39">
        <f>IF(AE$6=Assumptions!$B13,Assumptions!$B12,0)+IF(AE$6=Assumptions!$B19,Assumptions!$B18,0)+IF(AE$6=Assumptions!$B21,Assumptions!$B20,0)+IF(AE$6=Assumptions!$B25,Assumptions!$B24,0)+IF(AE$6=Assumptions!$B27,Assumptions!$B26,0)+IF(AE$6=Assumptions!$B29,Assumptions!$B28,0)+IF(AE$6=Assumptions!$B31,Assumptions!$B30,0)</f>
        <v>0</v>
      </c>
      <c r="AF36" s="39"/>
      <c r="AG36" s="39">
        <f>IF(AG$6=Assumptions!$B13,Assumptions!$B12,0)+IF(AG$6=Assumptions!$B19,Assumptions!$B18,0)+IF(AG$6=Assumptions!$B21,Assumptions!$B20,0)+IF(AG$6=Assumptions!$B25,Assumptions!$B24,0)+IF(AG$6=Assumptions!$B27,Assumptions!$B26,0)+IF(AG$6=Assumptions!$B29,Assumptions!$B28,0)+IF(AG$6=Assumptions!$B31,Assumptions!$B30,0)</f>
        <v>0</v>
      </c>
      <c r="AH36" s="39">
        <f>IF(AH$6=Assumptions!$B13,Assumptions!$B12,0)+IF(AH$6=Assumptions!$B19,Assumptions!$B18,0)+IF(AH$6=Assumptions!$B21,Assumptions!$B20,0)+IF(AH$6=Assumptions!$B25,Assumptions!$B24,0)+IF(AH$6=Assumptions!$B27,Assumptions!$B26,0)+IF(AH$6=Assumptions!$B29,Assumptions!$B28,0)+IF(AH$6=Assumptions!$B31,Assumptions!$B30,0)</f>
        <v>0</v>
      </c>
      <c r="AI36" s="39">
        <f>IF(AI$6=Assumptions!$B13,Assumptions!$B12,0)+IF(AI$6=Assumptions!$B19,Assumptions!$B18,0)+IF(AI$6=Assumptions!$B21,Assumptions!$B20,0)+IF(AI$6=Assumptions!$B25,Assumptions!$B24,0)+IF(AI$6=Assumptions!$B27,Assumptions!$B26,0)+IF(AI$6=Assumptions!$B29,Assumptions!$B28,0)+IF(AI$6=Assumptions!$B31,Assumptions!$B30,0)</f>
        <v>0</v>
      </c>
      <c r="AJ36" s="39">
        <f>IF(AJ$6=Assumptions!$B13,Assumptions!$B12,0)+IF(AJ$6=Assumptions!$B19,Assumptions!$B18,0)+IF(AJ$6=Assumptions!$B21,Assumptions!$B20,0)+IF(AJ$6=Assumptions!$B25,Assumptions!$B24,0)+IF(AJ$6=Assumptions!$B27,Assumptions!$B26,0)+IF(AJ$6=Assumptions!$B29,Assumptions!$B28,0)+IF(AJ$6=Assumptions!$B31,Assumptions!$B30,0)</f>
        <v>0</v>
      </c>
      <c r="AK36" s="39">
        <f>IF(AK$6=Assumptions!$B13,Assumptions!$B12,0)+IF(AK$6=Assumptions!$B19,Assumptions!$B18,0)+IF(AK$6=Assumptions!$B21,Assumptions!$B20,0)+IF(AK$6=Assumptions!$B25,Assumptions!$B24,0)+IF(AK$6=Assumptions!$B27,Assumptions!$B26,0)+IF(AK$6=Assumptions!$B29,Assumptions!$B28,0)+IF(AK$6=Assumptions!$B31,Assumptions!$B30,0)</f>
        <v>0</v>
      </c>
      <c r="AL36" s="39">
        <f>IF(AL$6=Assumptions!$B13,Assumptions!$B12,0)+IF(AL$6=Assumptions!$B19,Assumptions!$B18,0)+IF(AL$6=Assumptions!$B21,Assumptions!$B20,0)+IF(AL$6=Assumptions!$B25,Assumptions!$B24,0)+IF(AL$6=Assumptions!$B27,Assumptions!$B26,0)+IF(AL$6=Assumptions!$B29,Assumptions!$B28,0)+IF(AL$6=Assumptions!$B31,Assumptions!$B30,0)</f>
        <v>0</v>
      </c>
      <c r="AM36" s="39">
        <f>IF(AM$6=Assumptions!$B13,Assumptions!$B12,0)+IF(AM$6=Assumptions!$B19,Assumptions!$B18,0)+IF(AM$6=Assumptions!$B21,Assumptions!$B20,0)+IF(AM$6=Assumptions!$B25,Assumptions!$B24,0)+IF(AM$6=Assumptions!$B27,Assumptions!$B26,0)+IF(AM$6=Assumptions!$B29,Assumptions!$B28,0)+IF(AM$6=Assumptions!$B31,Assumptions!$B30,0)</f>
        <v>0</v>
      </c>
      <c r="AN36" s="39">
        <f>IF(AN$6=Assumptions!$B13,Assumptions!$B12,0)+IF(AN$6=Assumptions!$B19,Assumptions!$B18,0)+IF(AN$6=Assumptions!$B21,Assumptions!$B20,0)+IF(AN$6=Assumptions!$B25,Assumptions!$B24,0)+IF(AN$6=Assumptions!$B27,Assumptions!$B26,0)+IF(AN$6=Assumptions!$B29,Assumptions!$B28,0)+IF(AN$6=Assumptions!$B31,Assumptions!$B30,0)</f>
        <v>0</v>
      </c>
      <c r="AO36" s="39">
        <f>IF(AO$6=Assumptions!$B13,Assumptions!$B12,0)+IF(AO$6=Assumptions!$B19,Assumptions!$B18,0)+IF(AO$6=Assumptions!$B21,Assumptions!$B20,0)+IF(AO$6=Assumptions!$B25,Assumptions!$B24,0)+IF(AO$6=Assumptions!$B27,Assumptions!$B26,0)+IF(AO$6=Assumptions!$B29,Assumptions!$B28,0)+IF(AO$6=Assumptions!$B31,Assumptions!$B30,0)</f>
        <v>0</v>
      </c>
      <c r="AP36" s="39">
        <f>IF(AP$6=Assumptions!$B13,Assumptions!$B12,0)+IF(AP$6=Assumptions!$B19,Assumptions!$B18,0)+IF(AP$6=Assumptions!$B21,Assumptions!$B20,0)+IF(AP$6=Assumptions!$B25,Assumptions!$B24,0)+IF(AP$6=Assumptions!$B27,Assumptions!$B26,0)+IF(AP$6=Assumptions!$B29,Assumptions!$B28,0)+IF(AP$6=Assumptions!$B31,Assumptions!$B30,0)</f>
        <v>0</v>
      </c>
      <c r="AQ36" s="39">
        <f>IF(AQ$6=Assumptions!$B13,Assumptions!$B12,0)+IF(AQ$6=Assumptions!$B19,Assumptions!$B18,0)+IF(AQ$6=Assumptions!$B21,Assumptions!$B20,0)+IF(AQ$6=Assumptions!$B25,Assumptions!$B24,0)+IF(AQ$6=Assumptions!$B27,Assumptions!$B26,0)+IF(AQ$6=Assumptions!$B29,Assumptions!$B28,0)+IF(AQ$6=Assumptions!$B31,Assumptions!$B30,0)</f>
        <v>0</v>
      </c>
      <c r="AR36" s="39">
        <f>IF(AR$6=Assumptions!$B13,Assumptions!$B12,0)+IF(AR$6=Assumptions!$B19,Assumptions!$B18,0)+IF(AR$6=Assumptions!$B21,Assumptions!$B20,0)+IF(AR$6=Assumptions!$B25,Assumptions!$B24,0)+IF(AR$6=Assumptions!$B27,Assumptions!$B26,0)+IF(AR$6=Assumptions!$B29,Assumptions!$B28,0)+IF(AR$6=Assumptions!$B31,Assumptions!$B30,0)</f>
        <v>0</v>
      </c>
      <c r="AS36" s="39"/>
      <c r="AT36" s="39">
        <f>IF(AT$6=Assumptions!$B13,Assumptions!$B12,0)+IF(AT$6=Assumptions!$B19,Assumptions!$B18,0)+IF(AT$6=Assumptions!$B21,Assumptions!$B20,0)+IF(AT$6=Assumptions!$B25,Assumptions!$B24,0)+IF(AT$6=Assumptions!$B27,Assumptions!$B26,0)+IF(AT$6=Assumptions!$B29,Assumptions!$B28,0)+IF(AT$6=Assumptions!$B31,Assumptions!$B30,0)</f>
        <v>0</v>
      </c>
      <c r="AU36" s="39">
        <f>IF(AU$6=Assumptions!$B13,Assumptions!$B12,0)+IF(AU$6=Assumptions!$B19,Assumptions!$B18,0)+IF(AU$6=Assumptions!$B21,Assumptions!$B20,0)+IF(AU$6=Assumptions!$B25,Assumptions!$B24,0)+IF(AU$6=Assumptions!$B27,Assumptions!$B26,0)+IF(AU$6=Assumptions!$B29,Assumptions!$B28,0)+IF(AU$6=Assumptions!$B31,Assumptions!$B30,0)</f>
        <v>0</v>
      </c>
      <c r="AV36" s="39">
        <f>IF(AV$6=Assumptions!$B13,Assumptions!$B12,0)+IF(AV$6=Assumptions!$B19,Assumptions!$B18,0)+IF(AV$6=Assumptions!$B21,Assumptions!$B20,0)+IF(AV$6=Assumptions!$B25,Assumptions!$B24,0)+IF(AV$6=Assumptions!$B27,Assumptions!$B26,0)+IF(AV$6=Assumptions!$B29,Assumptions!$B28,0)+IF(AV$6=Assumptions!$B31,Assumptions!$B30,0)</f>
        <v>0</v>
      </c>
      <c r="AW36" s="39">
        <f>IF(AW$6=Assumptions!$B13,Assumptions!$B12,0)+IF(AW$6=Assumptions!$B19,Assumptions!$B18,0)+IF(AW$6=Assumptions!$B21,Assumptions!$B20,0)+IF(AW$6=Assumptions!$B25,Assumptions!$B24,0)+IF(AW$6=Assumptions!$B27,Assumptions!$B26,0)+IF(AW$6=Assumptions!$B29,Assumptions!$B28,0)+IF(AW$6=Assumptions!$B31,Assumptions!$B30,0)</f>
        <v>0</v>
      </c>
      <c r="AX36" s="39">
        <f>IF(AX$6=Assumptions!$B13,Assumptions!$B12,0)+IF(AX$6=Assumptions!$B19,Assumptions!$B18,0)+IF(AX$6=Assumptions!$B21,Assumptions!$B20,0)+IF(AX$6=Assumptions!$B25,Assumptions!$B24,0)+IF(AX$6=Assumptions!$B27,Assumptions!$B26,0)+IF(AX$6=Assumptions!$B29,Assumptions!$B28,0)+IF(AX$6=Assumptions!$B31,Assumptions!$B30,0)</f>
        <v>0</v>
      </c>
      <c r="AY36" s="39">
        <f>IF(AY$6=Assumptions!$B13,Assumptions!$B12,0)+IF(AY$6=Assumptions!$B19,Assumptions!$B18,0)+IF(AY$6=Assumptions!$B21,Assumptions!$B20,0)+IF(AY$6=Assumptions!$B25,Assumptions!$B24,0)+IF(AY$6=Assumptions!$B27,Assumptions!$B26,0)+IF(AY$6=Assumptions!$B29,Assumptions!$B28,0)+IF(AY$6=Assumptions!$B31,Assumptions!$B30,0)</f>
        <v>0</v>
      </c>
      <c r="AZ36" s="39">
        <f>IF(AZ$6=Assumptions!$B13,Assumptions!$B12,0)+IF(AZ$6=Assumptions!$B19,Assumptions!$B18,0)+IF(AZ$6=Assumptions!$B21,Assumptions!$B20,0)+IF(AZ$6=Assumptions!$B25,Assumptions!$B24,0)+IF(AZ$6=Assumptions!$B27,Assumptions!$B26,0)+IF(AZ$6=Assumptions!$B29,Assumptions!$B28,0)+IF(AZ$6=Assumptions!$B31,Assumptions!$B30,0)</f>
        <v>0</v>
      </c>
      <c r="BA36" s="39">
        <f>IF(BA$6=Assumptions!$B13,Assumptions!$B12,0)+IF(BA$6=Assumptions!$B19,Assumptions!$B18,0)+IF(BA$6=Assumptions!$B21,Assumptions!$B20,0)+IF(BA$6=Assumptions!$B25,Assumptions!$B24,0)+IF(BA$6=Assumptions!$B27,Assumptions!$B26,0)+IF(BA$6=Assumptions!$B29,Assumptions!$B28,0)+IF(BA$6=Assumptions!$B31,Assumptions!$B30,0)</f>
        <v>0</v>
      </c>
      <c r="BB36" s="39">
        <f>IF(BB$6=Assumptions!$B13,Assumptions!$B12,0)+IF(BB$6=Assumptions!$B19,Assumptions!$B18,0)+IF(BB$6=Assumptions!$B21,Assumptions!$B20,0)+IF(BB$6=Assumptions!$B25,Assumptions!$B24,0)+IF(BB$6=Assumptions!$B27,Assumptions!$B26,0)+IF(BB$6=Assumptions!$B29,Assumptions!$B28,0)+IF(BB$6=Assumptions!$B31,Assumptions!$B30,0)</f>
        <v>0</v>
      </c>
      <c r="BC36" s="39">
        <f>IF(BC$6=Assumptions!$B13,Assumptions!$B12,0)+IF(BC$6=Assumptions!$B19,Assumptions!$B18,0)+IF(BC$6=Assumptions!$B21,Assumptions!$B20,0)+IF(BC$6=Assumptions!$B25,Assumptions!$B24,0)+IF(BC$6=Assumptions!$B27,Assumptions!$B26,0)+IF(BC$6=Assumptions!$B29,Assumptions!$B28,0)+IF(BC$6=Assumptions!$B31,Assumptions!$B30,0)</f>
        <v>0</v>
      </c>
      <c r="BD36" s="39">
        <f>IF(BD$6=Assumptions!$B13,Assumptions!$B12,0)+IF(BD$6=Assumptions!$B19,Assumptions!$B18,0)+IF(BD$6=Assumptions!$B21,Assumptions!$B20,0)+IF(BD$6=Assumptions!$B25,Assumptions!$B24,0)+IF(BD$6=Assumptions!$B27,Assumptions!$B26,0)+IF(BD$6=Assumptions!$B29,Assumptions!$B28,0)+IF(BD$6=Assumptions!$B31,Assumptions!$B30,0)</f>
        <v>0</v>
      </c>
      <c r="BE36" s="39">
        <f>IF(BE$6=Assumptions!$B13,Assumptions!$B12,0)+IF(BE$6=Assumptions!$B19,Assumptions!$B18,0)+IF(BE$6=Assumptions!$B21,Assumptions!$B20,0)+IF(BE$6=Assumptions!$B25,Assumptions!$B24,0)+IF(BE$6=Assumptions!$B27,Assumptions!$B26,0)+IF(BE$6=Assumptions!$B29,Assumptions!$B28,0)+IF(BE$6=Assumptions!$B31,Assumptions!$B30,0)</f>
        <v>0</v>
      </c>
      <c r="BF36" s="39"/>
      <c r="BG36" s="39">
        <f>IF(BG$6=Assumptions!$B13,Assumptions!$B12,0)+IF(BG$6=Assumptions!$B19,Assumptions!$B18,0)+IF(BG$6=Assumptions!$B21,Assumptions!$B20,0)+IF(BG$6=Assumptions!$B25,Assumptions!$B24,0)+IF(BG$6=Assumptions!$B27,Assumptions!$B26,0)+IF(BG$6=Assumptions!$B29,Assumptions!$B28,0)+IF(BG$6=Assumptions!$B31,Assumptions!$B30,0)</f>
        <v>0</v>
      </c>
      <c r="BH36" s="39">
        <f>IF(BH$6=Assumptions!$B13,Assumptions!$B12,0)+IF(BH$6=Assumptions!$B19,Assumptions!$B18,0)+IF(BH$6=Assumptions!$B21,Assumptions!$B20,0)+IF(BH$6=Assumptions!$B25,Assumptions!$B24,0)+IF(BH$6=Assumptions!$B27,Assumptions!$B26,0)+IF(BH$6=Assumptions!$B29,Assumptions!$B28,0)+IF(BH$6=Assumptions!$B31,Assumptions!$B30,0)</f>
        <v>0</v>
      </c>
      <c r="BI36" s="39">
        <f>IF(BI$6=Assumptions!$B13,Assumptions!$B12,0)+IF(BI$6=Assumptions!$B19,Assumptions!$B18,0)+IF(BI$6=Assumptions!$B21,Assumptions!$B20,0)+IF(BI$6=Assumptions!$B25,Assumptions!$B24,0)+IF(BI$6=Assumptions!$B27,Assumptions!$B26,0)+IF(BI$6=Assumptions!$B29,Assumptions!$B28,0)+IF(BI$6=Assumptions!$B31,Assumptions!$B30,0)</f>
        <v>0</v>
      </c>
      <c r="BJ36" s="39">
        <f>IF(BJ$6=Assumptions!$B13,Assumptions!$B12,0)+IF(BJ$6=Assumptions!$B19,Assumptions!$B18,0)+IF(BJ$6=Assumptions!$B21,Assumptions!$B20,0)+IF(BJ$6=Assumptions!$B25,Assumptions!$B24,0)+IF(BJ$6=Assumptions!$B27,Assumptions!$B26,0)+IF(BJ$6=Assumptions!$B29,Assumptions!$B28,0)+IF(BJ$6=Assumptions!$B31,Assumptions!$B30,0)</f>
        <v>0</v>
      </c>
      <c r="BK36" s="39">
        <f>IF(BK$6=Assumptions!$B13,Assumptions!$B12,0)+IF(BK$6=Assumptions!$B19,Assumptions!$B18,0)+IF(BK$6=Assumptions!$B21,Assumptions!$B20,0)+IF(BK$6=Assumptions!$B25,Assumptions!$B24,0)+IF(BK$6=Assumptions!$B27,Assumptions!$B26,0)+IF(BK$6=Assumptions!$B29,Assumptions!$B28,0)+IF(BK$6=Assumptions!$B31,Assumptions!$B30,0)</f>
        <v>0</v>
      </c>
      <c r="BL36" s="39">
        <f>IF(BL$6=Assumptions!$B13,Assumptions!$B12,0)+IF(BL$6=Assumptions!$B19,Assumptions!$B18,0)+IF(BL$6=Assumptions!$B21,Assumptions!$B20,0)+IF(BL$6=Assumptions!$B25,Assumptions!$B24,0)+IF(BL$6=Assumptions!$B27,Assumptions!$B26,0)+IF(BL$6=Assumptions!$B29,Assumptions!$B28,0)+IF(BL$6=Assumptions!$B31,Assumptions!$B30,0)</f>
        <v>0</v>
      </c>
      <c r="BM36" s="39">
        <f>IF(BM$6=Assumptions!$B13,Assumptions!$B12,0)+IF(BM$6=Assumptions!$B19,Assumptions!$B18,0)+IF(BM$6=Assumptions!$B21,Assumptions!$B20,0)+IF(BM$6=Assumptions!$B25,Assumptions!$B24,0)+IF(BM$6=Assumptions!$B27,Assumptions!$B26,0)+IF(BM$6=Assumptions!$B29,Assumptions!$B28,0)+IF(BM$6=Assumptions!$B31,Assumptions!$B30,0)</f>
        <v>0</v>
      </c>
      <c r="BN36" s="39">
        <f>IF(BN$6=Assumptions!$B13,Assumptions!$B12,0)+IF(BN$6=Assumptions!$B19,Assumptions!$B18,0)+IF(BN$6=Assumptions!$B21,Assumptions!$B20,0)+IF(BN$6=Assumptions!$B25,Assumptions!$B24,0)+IF(BN$6=Assumptions!$B27,Assumptions!$B26,0)+IF(BN$6=Assumptions!$B29,Assumptions!$B28,0)+IF(BN$6=Assumptions!$B31,Assumptions!$B30,0)</f>
        <v>0</v>
      </c>
      <c r="BO36" s="39">
        <f>IF(BO$6=Assumptions!$B13,Assumptions!$B12,0)+IF(BO$6=Assumptions!$B19,Assumptions!$B18,0)+IF(BO$6=Assumptions!$B21,Assumptions!$B20,0)+IF(BO$6=Assumptions!$B25,Assumptions!$B24,0)+IF(BO$6=Assumptions!$B27,Assumptions!$B26,0)+IF(BO$6=Assumptions!$B29,Assumptions!$B28,0)+IF(BO$6=Assumptions!$B31,Assumptions!$B30,0)</f>
        <v>0</v>
      </c>
      <c r="BP36" s="39">
        <f>IF(BP$6=Assumptions!$B13,Assumptions!$B12,0)+IF(BP$6=Assumptions!$B19,Assumptions!$B18,0)+IF(BP$6=Assumptions!$B21,Assumptions!$B20,0)+IF(BP$6=Assumptions!$B25,Assumptions!$B24,0)+IF(BP$6=Assumptions!$B27,Assumptions!$B26,0)+IF(BP$6=Assumptions!$B29,Assumptions!$B28,0)+IF(BP$6=Assumptions!$B31,Assumptions!$B30,0)</f>
        <v>0</v>
      </c>
      <c r="BQ36" s="39">
        <f>IF(BQ$6=Assumptions!$B13,Assumptions!$B12,0)+IF(BQ$6=Assumptions!$B19,Assumptions!$B18,0)+IF(BQ$6=Assumptions!$B21,Assumptions!$B20,0)+IF(BQ$6=Assumptions!$B25,Assumptions!$B24,0)+IF(BQ$6=Assumptions!$B27,Assumptions!$B26,0)+IF(BQ$6=Assumptions!$B29,Assumptions!$B28,0)+IF(BQ$6=Assumptions!$B31,Assumptions!$B30,0)</f>
        <v>0</v>
      </c>
      <c r="BR36" s="39">
        <f>IF(BR$6=Assumptions!$B13,Assumptions!$B12,0)+IF(BR$6=Assumptions!$B19,Assumptions!$B18,0)+IF(BR$6=Assumptions!$B21,Assumptions!$B20,0)+IF(BR$6=Assumptions!$B25,Assumptions!$B24,0)+IF(BR$6=Assumptions!$B27,Assumptions!$B26,0)+IF(BR$6=Assumptions!$B29,Assumptions!$B28,0)+IF(BR$6=Assumptions!$B31,Assumptions!$B30,0)</f>
        <v>0</v>
      </c>
      <c r="BS36" s="39"/>
      <c r="BT36" s="17"/>
    </row>
    <row r="37" spans="1:72" ht="15.75" customHeight="1">
      <c r="A37" s="1"/>
      <c r="B37" s="2" t="s">
        <v>667</v>
      </c>
      <c r="C37" s="2"/>
      <c r="D37" s="2"/>
      <c r="E37" s="2"/>
      <c r="F37" s="2"/>
      <c r="G37" s="320">
        <v>0</v>
      </c>
      <c r="H37" s="320">
        <v>0</v>
      </c>
      <c r="I37" s="320">
        <v>0</v>
      </c>
      <c r="J37" s="320">
        <v>0</v>
      </c>
      <c r="K37" s="320">
        <v>0</v>
      </c>
      <c r="L37" s="320">
        <v>0</v>
      </c>
      <c r="M37" s="320">
        <v>0</v>
      </c>
      <c r="N37" s="320">
        <v>0</v>
      </c>
      <c r="O37" s="320">
        <v>0</v>
      </c>
      <c r="P37" s="320">
        <v>0</v>
      </c>
      <c r="Q37" s="320">
        <v>0</v>
      </c>
      <c r="R37" s="320">
        <v>-75000</v>
      </c>
      <c r="S37" s="3"/>
      <c r="T37" s="320">
        <v>0</v>
      </c>
      <c r="U37" s="320">
        <v>0</v>
      </c>
      <c r="V37" s="320">
        <v>0</v>
      </c>
      <c r="W37" s="320">
        <v>0</v>
      </c>
      <c r="X37" s="320">
        <v>0</v>
      </c>
      <c r="Y37" s="320">
        <v>0</v>
      </c>
      <c r="Z37" s="320">
        <v>0</v>
      </c>
      <c r="AA37" s="320">
        <v>0</v>
      </c>
      <c r="AB37" s="320">
        <v>0</v>
      </c>
      <c r="AC37" s="320">
        <v>0</v>
      </c>
      <c r="AD37" s="320">
        <v>0</v>
      </c>
      <c r="AE37" s="320">
        <v>-100000</v>
      </c>
      <c r="AF37" s="3"/>
      <c r="AG37" s="320">
        <v>0</v>
      </c>
      <c r="AH37" s="320">
        <v>0</v>
      </c>
      <c r="AI37" s="320">
        <v>0</v>
      </c>
      <c r="AJ37" s="320">
        <v>0</v>
      </c>
      <c r="AK37" s="320">
        <v>0</v>
      </c>
      <c r="AL37" s="320">
        <v>0</v>
      </c>
      <c r="AM37" s="320">
        <v>0</v>
      </c>
      <c r="AN37" s="320">
        <v>0</v>
      </c>
      <c r="AO37" s="320">
        <v>0</v>
      </c>
      <c r="AP37" s="320">
        <v>0</v>
      </c>
      <c r="AQ37" s="320">
        <v>0</v>
      </c>
      <c r="AR37" s="320">
        <v>-100000</v>
      </c>
      <c r="AS37" s="3"/>
      <c r="AT37" s="320">
        <v>0</v>
      </c>
      <c r="AU37" s="320">
        <v>0</v>
      </c>
      <c r="AV37" s="320">
        <v>0</v>
      </c>
      <c r="AW37" s="320">
        <v>0</v>
      </c>
      <c r="AX37" s="320">
        <v>0</v>
      </c>
      <c r="AY37" s="320">
        <v>0</v>
      </c>
      <c r="AZ37" s="320">
        <v>0</v>
      </c>
      <c r="BA37" s="320">
        <v>0</v>
      </c>
      <c r="BB37" s="320">
        <v>0</v>
      </c>
      <c r="BC37" s="320">
        <v>0</v>
      </c>
      <c r="BD37" s="320">
        <v>0</v>
      </c>
      <c r="BE37" s="320">
        <v>-100000</v>
      </c>
      <c r="BF37" s="3"/>
      <c r="BG37" s="320">
        <v>0</v>
      </c>
      <c r="BH37" s="320">
        <v>0</v>
      </c>
      <c r="BI37" s="320">
        <v>0</v>
      </c>
      <c r="BJ37" s="320">
        <v>0</v>
      </c>
      <c r="BK37" s="320">
        <v>0</v>
      </c>
      <c r="BL37" s="320">
        <v>0</v>
      </c>
      <c r="BM37" s="320">
        <v>0</v>
      </c>
      <c r="BN37" s="320">
        <v>0</v>
      </c>
      <c r="BO37" s="320">
        <v>0</v>
      </c>
      <c r="BP37" s="320">
        <v>0</v>
      </c>
      <c r="BQ37" s="320">
        <v>0</v>
      </c>
      <c r="BR37" s="320">
        <v>-125000</v>
      </c>
      <c r="BS37" s="3"/>
      <c r="BT37" s="3"/>
    </row>
    <row r="38" spans="1:72" ht="15.75" customHeight="1">
      <c r="A38" s="1"/>
      <c r="B38" s="2"/>
      <c r="C38" s="2"/>
      <c r="D38" s="2"/>
      <c r="E38" s="2" t="s">
        <v>91</v>
      </c>
      <c r="F38" s="2"/>
      <c r="G38" s="18">
        <f t="shared" ref="G38:R38" si="14">SUM(G34:G37)</f>
        <v>300000</v>
      </c>
      <c r="H38" s="18">
        <f t="shared" si="14"/>
        <v>0</v>
      </c>
      <c r="I38" s="18">
        <f t="shared" si="14"/>
        <v>0</v>
      </c>
      <c r="J38" s="18">
        <f t="shared" si="14"/>
        <v>0</v>
      </c>
      <c r="K38" s="18">
        <f t="shared" si="14"/>
        <v>0</v>
      </c>
      <c r="L38" s="18">
        <f t="shared" si="14"/>
        <v>0</v>
      </c>
      <c r="M38" s="18">
        <f t="shared" si="14"/>
        <v>0</v>
      </c>
      <c r="N38" s="18">
        <f t="shared" si="14"/>
        <v>0</v>
      </c>
      <c r="O38" s="18">
        <f t="shared" si="14"/>
        <v>0</v>
      </c>
      <c r="P38" s="18">
        <f t="shared" si="14"/>
        <v>0</v>
      </c>
      <c r="Q38" s="18">
        <f t="shared" si="14"/>
        <v>0</v>
      </c>
      <c r="R38" s="18">
        <f t="shared" si="14"/>
        <v>-75000</v>
      </c>
      <c r="S38" s="3"/>
      <c r="T38" s="18">
        <f t="shared" ref="T38:AE38" si="15">SUM(T34:T37)</f>
        <v>0</v>
      </c>
      <c r="U38" s="18">
        <f t="shared" si="15"/>
        <v>0</v>
      </c>
      <c r="V38" s="18">
        <f t="shared" si="15"/>
        <v>0</v>
      </c>
      <c r="W38" s="18">
        <f t="shared" si="15"/>
        <v>0</v>
      </c>
      <c r="X38" s="18">
        <f t="shared" si="15"/>
        <v>0</v>
      </c>
      <c r="Y38" s="18">
        <f t="shared" si="15"/>
        <v>0</v>
      </c>
      <c r="Z38" s="18">
        <f t="shared" si="15"/>
        <v>0</v>
      </c>
      <c r="AA38" s="18">
        <f t="shared" si="15"/>
        <v>0</v>
      </c>
      <c r="AB38" s="18">
        <f t="shared" si="15"/>
        <v>0</v>
      </c>
      <c r="AC38" s="18">
        <f t="shared" si="15"/>
        <v>0</v>
      </c>
      <c r="AD38" s="18">
        <f t="shared" si="15"/>
        <v>0</v>
      </c>
      <c r="AE38" s="18">
        <f t="shared" si="15"/>
        <v>-100000</v>
      </c>
      <c r="AF38" s="3"/>
      <c r="AG38" s="18">
        <f t="shared" ref="AG38:AR38" si="16">SUM(AG34:AG37)</f>
        <v>0</v>
      </c>
      <c r="AH38" s="18">
        <f t="shared" si="16"/>
        <v>0</v>
      </c>
      <c r="AI38" s="18">
        <f t="shared" si="16"/>
        <v>0</v>
      </c>
      <c r="AJ38" s="18">
        <f t="shared" si="16"/>
        <v>0</v>
      </c>
      <c r="AK38" s="18">
        <f t="shared" si="16"/>
        <v>0</v>
      </c>
      <c r="AL38" s="18">
        <f t="shared" si="16"/>
        <v>0</v>
      </c>
      <c r="AM38" s="18">
        <f t="shared" si="16"/>
        <v>0</v>
      </c>
      <c r="AN38" s="18">
        <f t="shared" si="16"/>
        <v>0</v>
      </c>
      <c r="AO38" s="18">
        <f t="shared" si="16"/>
        <v>0</v>
      </c>
      <c r="AP38" s="18">
        <f t="shared" si="16"/>
        <v>0</v>
      </c>
      <c r="AQ38" s="18">
        <f t="shared" si="16"/>
        <v>0</v>
      </c>
      <c r="AR38" s="18">
        <f t="shared" si="16"/>
        <v>-100000</v>
      </c>
      <c r="AS38" s="3"/>
      <c r="AT38" s="18">
        <f t="shared" ref="AT38:BE38" si="17">SUM(AT34:AT37)</f>
        <v>0</v>
      </c>
      <c r="AU38" s="18">
        <f t="shared" si="17"/>
        <v>0</v>
      </c>
      <c r="AV38" s="18">
        <f t="shared" si="17"/>
        <v>0</v>
      </c>
      <c r="AW38" s="18">
        <f t="shared" si="17"/>
        <v>0</v>
      </c>
      <c r="AX38" s="18">
        <f t="shared" si="17"/>
        <v>0</v>
      </c>
      <c r="AY38" s="18">
        <f t="shared" si="17"/>
        <v>0</v>
      </c>
      <c r="AZ38" s="18">
        <f t="shared" si="17"/>
        <v>0</v>
      </c>
      <c r="BA38" s="18">
        <f t="shared" si="17"/>
        <v>0</v>
      </c>
      <c r="BB38" s="18">
        <f t="shared" si="17"/>
        <v>0</v>
      </c>
      <c r="BC38" s="18">
        <f t="shared" si="17"/>
        <v>0</v>
      </c>
      <c r="BD38" s="18">
        <f t="shared" si="17"/>
        <v>0</v>
      </c>
      <c r="BE38" s="18">
        <f t="shared" si="17"/>
        <v>-100000</v>
      </c>
      <c r="BF38" s="3"/>
      <c r="BG38" s="18">
        <f t="shared" ref="BG38:BR38" si="18">SUM(BG34:BG37)</f>
        <v>0</v>
      </c>
      <c r="BH38" s="18">
        <f t="shared" si="18"/>
        <v>0</v>
      </c>
      <c r="BI38" s="18">
        <f t="shared" si="18"/>
        <v>0</v>
      </c>
      <c r="BJ38" s="18">
        <f t="shared" si="18"/>
        <v>0</v>
      </c>
      <c r="BK38" s="18">
        <f t="shared" si="18"/>
        <v>0</v>
      </c>
      <c r="BL38" s="18">
        <f t="shared" si="18"/>
        <v>0</v>
      </c>
      <c r="BM38" s="18">
        <f t="shared" si="18"/>
        <v>0</v>
      </c>
      <c r="BN38" s="18">
        <f t="shared" si="18"/>
        <v>0</v>
      </c>
      <c r="BO38" s="18">
        <f t="shared" si="18"/>
        <v>0</v>
      </c>
      <c r="BP38" s="18">
        <f t="shared" si="18"/>
        <v>0</v>
      </c>
      <c r="BQ38" s="18">
        <f t="shared" si="18"/>
        <v>0</v>
      </c>
      <c r="BR38" s="18">
        <f t="shared" si="18"/>
        <v>-125000</v>
      </c>
      <c r="BS38" s="3"/>
      <c r="BT38" s="2"/>
    </row>
    <row r="39" spans="1:72" ht="15.75" customHeight="1">
      <c r="A39" s="1"/>
      <c r="B39" s="2"/>
      <c r="C39" s="2"/>
      <c r="D39" s="2"/>
      <c r="E39" s="2"/>
      <c r="F39" s="2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2"/>
    </row>
    <row r="40" spans="1:72" ht="15.75" customHeight="1">
      <c r="A40" s="1" t="s">
        <v>92</v>
      </c>
      <c r="B40" s="2"/>
      <c r="C40" s="2"/>
      <c r="D40" s="2"/>
      <c r="E40" s="2"/>
      <c r="F40" s="2"/>
      <c r="G40" s="3">
        <f t="shared" ref="G40:R40" si="19">G23+G31+G38</f>
        <v>71982.070498255169</v>
      </c>
      <c r="H40" s="3">
        <f t="shared" si="19"/>
        <v>32667.506536678404</v>
      </c>
      <c r="I40" s="3">
        <f t="shared" si="19"/>
        <v>-3625.3958908757868</v>
      </c>
      <c r="J40" s="3">
        <f t="shared" si="19"/>
        <v>6780.5002382252469</v>
      </c>
      <c r="K40" s="3">
        <f t="shared" si="19"/>
        <v>21856.260732272633</v>
      </c>
      <c r="L40" s="3">
        <f t="shared" si="19"/>
        <v>15153.589426571609</v>
      </c>
      <c r="M40" s="3">
        <f t="shared" si="19"/>
        <v>-8329.0955049321346</v>
      </c>
      <c r="N40" s="3">
        <f t="shared" si="19"/>
        <v>21532.115879263209</v>
      </c>
      <c r="O40" s="3">
        <f t="shared" si="19"/>
        <v>23147.039423434544</v>
      </c>
      <c r="P40" s="3">
        <f t="shared" si="19"/>
        <v>-948.48111766598595</v>
      </c>
      <c r="Q40" s="3">
        <f t="shared" si="19"/>
        <v>4538.3582385557975</v>
      </c>
      <c r="R40" s="3">
        <f t="shared" si="19"/>
        <v>-76704.198869683067</v>
      </c>
      <c r="S40" s="3"/>
      <c r="T40" s="3">
        <f t="shared" ref="T40:AE40" si="20">T23+T31+T38</f>
        <v>-21627.728362808841</v>
      </c>
      <c r="U40" s="3">
        <f t="shared" si="20"/>
        <v>-3591.7120023745879</v>
      </c>
      <c r="V40" s="3">
        <f t="shared" si="20"/>
        <v>10907.12902079834</v>
      </c>
      <c r="W40" s="3">
        <f t="shared" si="20"/>
        <v>8423.3431862813886</v>
      </c>
      <c r="X40" s="3">
        <f t="shared" si="20"/>
        <v>25600.973300583275</v>
      </c>
      <c r="Y40" s="3">
        <f t="shared" si="20"/>
        <v>18160.557383292511</v>
      </c>
      <c r="Z40" s="3">
        <f t="shared" si="20"/>
        <v>-8977.5309167486794</v>
      </c>
      <c r="AA40" s="3">
        <f t="shared" si="20"/>
        <v>24756.820485882206</v>
      </c>
      <c r="AB40" s="3">
        <f t="shared" si="20"/>
        <v>27307.235525384644</v>
      </c>
      <c r="AC40" s="3">
        <f t="shared" si="20"/>
        <v>-559.08434698640121</v>
      </c>
      <c r="AD40" s="3">
        <f t="shared" si="20"/>
        <v>6116.8155630906922</v>
      </c>
      <c r="AE40" s="3">
        <f t="shared" si="20"/>
        <v>-101804.74841843051</v>
      </c>
      <c r="AF40" s="3"/>
      <c r="AG40" s="3">
        <f t="shared" ref="AG40:AR40" si="21">AG23+AG31+AG38</f>
        <v>-24189.823441131455</v>
      </c>
      <c r="AH40" s="3">
        <f t="shared" si="21"/>
        <v>-3560.3846363910843</v>
      </c>
      <c r="AI40" s="3">
        <f t="shared" si="21"/>
        <v>13165.199192499036</v>
      </c>
      <c r="AJ40" s="3">
        <f t="shared" si="21"/>
        <v>10337.394450738215</v>
      </c>
      <c r="AK40" s="3">
        <f t="shared" si="21"/>
        <v>30019.222909246659</v>
      </c>
      <c r="AL40" s="3">
        <f t="shared" si="21"/>
        <v>21502.732158063805</v>
      </c>
      <c r="AM40" s="3">
        <f t="shared" si="21"/>
        <v>-9562.383121693998</v>
      </c>
      <c r="AN40" s="3">
        <f t="shared" si="21"/>
        <v>29055.934945722154</v>
      </c>
      <c r="AO40" s="3">
        <f t="shared" si="21"/>
        <v>31965.994677264345</v>
      </c>
      <c r="AP40" s="3">
        <f t="shared" si="21"/>
        <v>118.90710182818839</v>
      </c>
      <c r="AQ40" s="3">
        <f t="shared" si="21"/>
        <v>7721.3883377712536</v>
      </c>
      <c r="AR40" s="3">
        <f t="shared" si="21"/>
        <v>-101448.82887504822</v>
      </c>
      <c r="AS40" s="3"/>
      <c r="AT40" s="3">
        <f t="shared" ref="AT40:BE40" si="22">AT23+AT31+AT38</f>
        <v>-27418.417058700405</v>
      </c>
      <c r="AU40" s="3">
        <f t="shared" si="22"/>
        <v>-4951.199764842956</v>
      </c>
      <c r="AV40" s="3">
        <f t="shared" si="22"/>
        <v>13831.37227275128</v>
      </c>
      <c r="AW40" s="3">
        <f t="shared" si="22"/>
        <v>10850.459871888808</v>
      </c>
      <c r="AX40" s="3">
        <f t="shared" si="22"/>
        <v>31488.567391688179</v>
      </c>
      <c r="AY40" s="3">
        <f t="shared" si="22"/>
        <v>22559.361310314172</v>
      </c>
      <c r="AZ40" s="3">
        <f t="shared" si="22"/>
        <v>-10032.129761856826</v>
      </c>
      <c r="BA40" s="3">
        <f t="shared" si="22"/>
        <v>30481.198376938461</v>
      </c>
      <c r="BB40" s="3">
        <f t="shared" si="22"/>
        <v>33541.362795072841</v>
      </c>
      <c r="BC40" s="3">
        <f t="shared" si="22"/>
        <v>79.006934931181604</v>
      </c>
      <c r="BD40" s="3">
        <f t="shared" si="22"/>
        <v>8099.75023096513</v>
      </c>
      <c r="BE40" s="3">
        <f t="shared" si="22"/>
        <v>-101531.1980932874</v>
      </c>
      <c r="BF40" s="3"/>
      <c r="BG40" s="3">
        <f t="shared" ref="BG40:BR40" si="23">BG23+BG31+BG38</f>
        <v>-28290.864800185249</v>
      </c>
      <c r="BH40" s="3">
        <f t="shared" si="23"/>
        <v>-4180.013668833587</v>
      </c>
      <c r="BI40" s="3">
        <f t="shared" si="23"/>
        <v>15759.537542434999</v>
      </c>
      <c r="BJ40" s="3">
        <f t="shared" si="23"/>
        <v>12519.913501448513</v>
      </c>
      <c r="BK40" s="3">
        <f t="shared" si="23"/>
        <v>35091.641697650317</v>
      </c>
      <c r="BL40" s="3">
        <f t="shared" si="23"/>
        <v>25335.27139465242</v>
      </c>
      <c r="BM40" s="3">
        <f t="shared" si="23"/>
        <v>-10276.859093363944</v>
      </c>
      <c r="BN40" s="3">
        <f t="shared" si="23"/>
        <v>33994.096113633932</v>
      </c>
      <c r="BO40" s="3">
        <f t="shared" si="23"/>
        <v>37327.208662956153</v>
      </c>
      <c r="BP40" s="3">
        <f t="shared" si="23"/>
        <v>822.52956290125076</v>
      </c>
      <c r="BQ40" s="3">
        <f t="shared" si="23"/>
        <v>9541.285192167039</v>
      </c>
      <c r="BR40" s="3">
        <f t="shared" si="23"/>
        <v>-125342.17141946852</v>
      </c>
      <c r="BS40" s="3"/>
      <c r="BT40" s="2"/>
    </row>
    <row r="41" spans="1:72" ht="15.75" customHeight="1">
      <c r="A41" s="1" t="s">
        <v>93</v>
      </c>
      <c r="B41" s="2"/>
      <c r="C41" s="2"/>
      <c r="D41" s="2"/>
      <c r="E41" s="2"/>
      <c r="F41" s="2"/>
      <c r="G41" s="3">
        <f>0</f>
        <v>0</v>
      </c>
      <c r="H41" s="3">
        <f t="shared" ref="H41:R41" si="24">G43</f>
        <v>71982.070498255169</v>
      </c>
      <c r="I41" s="3">
        <f t="shared" si="24"/>
        <v>104649.57703493358</v>
      </c>
      <c r="J41" s="3">
        <f t="shared" si="24"/>
        <v>101024.18114405779</v>
      </c>
      <c r="K41" s="3">
        <f t="shared" si="24"/>
        <v>107804.68138228303</v>
      </c>
      <c r="L41" s="3">
        <f t="shared" si="24"/>
        <v>129660.94211455566</v>
      </c>
      <c r="M41" s="3">
        <f t="shared" si="24"/>
        <v>144814.53154112727</v>
      </c>
      <c r="N41" s="3">
        <f t="shared" si="24"/>
        <v>136485.43603619514</v>
      </c>
      <c r="O41" s="3">
        <f t="shared" si="24"/>
        <v>158017.55191545835</v>
      </c>
      <c r="P41" s="3">
        <f t="shared" si="24"/>
        <v>181164.59133889287</v>
      </c>
      <c r="Q41" s="3">
        <f t="shared" si="24"/>
        <v>180216.11022122687</v>
      </c>
      <c r="R41" s="3">
        <f t="shared" si="24"/>
        <v>184754.46845978269</v>
      </c>
      <c r="S41" s="3"/>
      <c r="T41" s="3">
        <f>R43</f>
        <v>108050.26959009962</v>
      </c>
      <c r="U41" s="3">
        <f t="shared" ref="U41:AE41" si="25">T43</f>
        <v>86422.541227290785</v>
      </c>
      <c r="V41" s="3">
        <f t="shared" si="25"/>
        <v>82830.829224916204</v>
      </c>
      <c r="W41" s="3">
        <f t="shared" si="25"/>
        <v>93737.958245714544</v>
      </c>
      <c r="X41" s="3">
        <f t="shared" si="25"/>
        <v>102161.30143199593</v>
      </c>
      <c r="Y41" s="3">
        <f t="shared" si="25"/>
        <v>127762.27473257922</v>
      </c>
      <c r="Z41" s="3">
        <f t="shared" si="25"/>
        <v>145922.83211587172</v>
      </c>
      <c r="AA41" s="3">
        <f t="shared" si="25"/>
        <v>136945.30119912303</v>
      </c>
      <c r="AB41" s="3">
        <f t="shared" si="25"/>
        <v>161702.12168500523</v>
      </c>
      <c r="AC41" s="3">
        <f t="shared" si="25"/>
        <v>189009.35721038986</v>
      </c>
      <c r="AD41" s="3">
        <f t="shared" si="25"/>
        <v>188450.27286340346</v>
      </c>
      <c r="AE41" s="3">
        <f t="shared" si="25"/>
        <v>194567.08842649416</v>
      </c>
      <c r="AF41" s="3"/>
      <c r="AG41" s="3">
        <f>AE43</f>
        <v>92762.340008063649</v>
      </c>
      <c r="AH41" s="3">
        <f t="shared" ref="AH41:AR41" si="26">AG43</f>
        <v>68572.516566932201</v>
      </c>
      <c r="AI41" s="3">
        <f t="shared" si="26"/>
        <v>65012.131930541116</v>
      </c>
      <c r="AJ41" s="3">
        <f t="shared" si="26"/>
        <v>78177.331123040145</v>
      </c>
      <c r="AK41" s="3">
        <f t="shared" si="26"/>
        <v>88514.725573778356</v>
      </c>
      <c r="AL41" s="3">
        <f t="shared" si="26"/>
        <v>118533.94848302501</v>
      </c>
      <c r="AM41" s="3">
        <f t="shared" si="26"/>
        <v>140036.68064108881</v>
      </c>
      <c r="AN41" s="3">
        <f t="shared" si="26"/>
        <v>130474.29751939481</v>
      </c>
      <c r="AO41" s="3">
        <f t="shared" si="26"/>
        <v>159530.23246511695</v>
      </c>
      <c r="AP41" s="3">
        <f t="shared" si="26"/>
        <v>191496.22714238131</v>
      </c>
      <c r="AQ41" s="3">
        <f t="shared" si="26"/>
        <v>191615.1342442095</v>
      </c>
      <c r="AR41" s="3">
        <f t="shared" si="26"/>
        <v>199336.52258198077</v>
      </c>
      <c r="AS41" s="3"/>
      <c r="AT41" s="3">
        <f>AR43</f>
        <v>97887.69370693255</v>
      </c>
      <c r="AU41" s="3">
        <f t="shared" ref="AU41:BE41" si="27">AT43</f>
        <v>70469.276648232146</v>
      </c>
      <c r="AV41" s="3">
        <f t="shared" si="27"/>
        <v>65518.076883389193</v>
      </c>
      <c r="AW41" s="3">
        <f t="shared" si="27"/>
        <v>79349.449156140472</v>
      </c>
      <c r="AX41" s="3">
        <f t="shared" si="27"/>
        <v>90199.909028029273</v>
      </c>
      <c r="AY41" s="3">
        <f t="shared" si="27"/>
        <v>121688.47641971745</v>
      </c>
      <c r="AZ41" s="3">
        <f t="shared" si="27"/>
        <v>144247.83773003164</v>
      </c>
      <c r="BA41" s="3">
        <f t="shared" si="27"/>
        <v>134215.7079681748</v>
      </c>
      <c r="BB41" s="3">
        <f t="shared" si="27"/>
        <v>164696.90634511327</v>
      </c>
      <c r="BC41" s="3">
        <f t="shared" si="27"/>
        <v>198238.26914018611</v>
      </c>
      <c r="BD41" s="3">
        <f t="shared" si="27"/>
        <v>198317.27607511729</v>
      </c>
      <c r="BE41" s="3">
        <f t="shared" si="27"/>
        <v>206417.02630608241</v>
      </c>
      <c r="BF41" s="3"/>
      <c r="BG41" s="3">
        <f>BE43</f>
        <v>104885.82821279501</v>
      </c>
      <c r="BH41" s="3">
        <f t="shared" ref="BH41:BR41" si="28">BG43</f>
        <v>76594.963412609766</v>
      </c>
      <c r="BI41" s="3">
        <f t="shared" si="28"/>
        <v>72414.949743776175</v>
      </c>
      <c r="BJ41" s="3">
        <f t="shared" si="28"/>
        <v>88174.487286211166</v>
      </c>
      <c r="BK41" s="3">
        <f t="shared" si="28"/>
        <v>100694.40078765967</v>
      </c>
      <c r="BL41" s="3">
        <f t="shared" si="28"/>
        <v>135786.04248531</v>
      </c>
      <c r="BM41" s="3">
        <f t="shared" si="28"/>
        <v>161121.31387996243</v>
      </c>
      <c r="BN41" s="3">
        <f t="shared" si="28"/>
        <v>150844.45478659848</v>
      </c>
      <c r="BO41" s="3">
        <f t="shared" si="28"/>
        <v>184838.5509002324</v>
      </c>
      <c r="BP41" s="3">
        <f t="shared" si="28"/>
        <v>222165.75956318853</v>
      </c>
      <c r="BQ41" s="3">
        <f t="shared" si="28"/>
        <v>222988.28912608977</v>
      </c>
      <c r="BR41" s="3">
        <f t="shared" si="28"/>
        <v>232529.57431825681</v>
      </c>
      <c r="BS41" s="3"/>
      <c r="BT41" s="2"/>
    </row>
    <row r="42" spans="1:72" ht="15.75" customHeight="1">
      <c r="A42" s="1"/>
      <c r="B42" s="2"/>
      <c r="C42" s="2"/>
      <c r="D42" s="2"/>
      <c r="E42" s="2"/>
      <c r="F42" s="2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2"/>
    </row>
    <row r="43" spans="1:72" ht="15.75" customHeight="1">
      <c r="A43" s="1" t="s">
        <v>120</v>
      </c>
      <c r="B43" s="2"/>
      <c r="C43" s="2"/>
      <c r="D43" s="2"/>
      <c r="E43" s="2"/>
      <c r="F43" s="2"/>
      <c r="G43" s="3">
        <f t="shared" ref="G43:R43" si="29">SUM(G40:G42)</f>
        <v>71982.070498255169</v>
      </c>
      <c r="H43" s="3">
        <f t="shared" si="29"/>
        <v>104649.57703493358</v>
      </c>
      <c r="I43" s="3">
        <f t="shared" si="29"/>
        <v>101024.18114405779</v>
      </c>
      <c r="J43" s="3">
        <f t="shared" si="29"/>
        <v>107804.68138228303</v>
      </c>
      <c r="K43" s="3">
        <f t="shared" si="29"/>
        <v>129660.94211455566</v>
      </c>
      <c r="L43" s="3">
        <f t="shared" si="29"/>
        <v>144814.53154112727</v>
      </c>
      <c r="M43" s="3">
        <f t="shared" si="29"/>
        <v>136485.43603619514</v>
      </c>
      <c r="N43" s="3">
        <f t="shared" si="29"/>
        <v>158017.55191545835</v>
      </c>
      <c r="O43" s="3">
        <f t="shared" si="29"/>
        <v>181164.59133889287</v>
      </c>
      <c r="P43" s="3">
        <f t="shared" si="29"/>
        <v>180216.11022122687</v>
      </c>
      <c r="Q43" s="3">
        <f t="shared" si="29"/>
        <v>184754.46845978269</v>
      </c>
      <c r="R43" s="3">
        <f t="shared" si="29"/>
        <v>108050.26959009962</v>
      </c>
      <c r="S43" s="3"/>
      <c r="T43" s="3">
        <f t="shared" ref="T43:AE43" si="30">SUM(T40:T42)</f>
        <v>86422.541227290785</v>
      </c>
      <c r="U43" s="3">
        <f t="shared" si="30"/>
        <v>82830.829224916204</v>
      </c>
      <c r="V43" s="3">
        <f t="shared" si="30"/>
        <v>93737.958245714544</v>
      </c>
      <c r="W43" s="3">
        <f t="shared" si="30"/>
        <v>102161.30143199593</v>
      </c>
      <c r="X43" s="3">
        <f t="shared" si="30"/>
        <v>127762.27473257922</v>
      </c>
      <c r="Y43" s="3">
        <f t="shared" si="30"/>
        <v>145922.83211587172</v>
      </c>
      <c r="Z43" s="3">
        <f t="shared" si="30"/>
        <v>136945.30119912303</v>
      </c>
      <c r="AA43" s="3">
        <f t="shared" si="30"/>
        <v>161702.12168500523</v>
      </c>
      <c r="AB43" s="3">
        <f t="shared" si="30"/>
        <v>189009.35721038986</v>
      </c>
      <c r="AC43" s="3">
        <f t="shared" si="30"/>
        <v>188450.27286340346</v>
      </c>
      <c r="AD43" s="3">
        <f t="shared" si="30"/>
        <v>194567.08842649416</v>
      </c>
      <c r="AE43" s="3">
        <f t="shared" si="30"/>
        <v>92762.340008063649</v>
      </c>
      <c r="AF43" s="3"/>
      <c r="AG43" s="3">
        <f t="shared" ref="AG43:AR43" si="31">SUM(AG40:AG42)</f>
        <v>68572.516566932201</v>
      </c>
      <c r="AH43" s="3">
        <f t="shared" si="31"/>
        <v>65012.131930541116</v>
      </c>
      <c r="AI43" s="3">
        <f t="shared" si="31"/>
        <v>78177.331123040145</v>
      </c>
      <c r="AJ43" s="3">
        <f t="shared" si="31"/>
        <v>88514.725573778356</v>
      </c>
      <c r="AK43" s="3">
        <f t="shared" si="31"/>
        <v>118533.94848302501</v>
      </c>
      <c r="AL43" s="3">
        <f t="shared" si="31"/>
        <v>140036.68064108881</v>
      </c>
      <c r="AM43" s="3">
        <f t="shared" si="31"/>
        <v>130474.29751939481</v>
      </c>
      <c r="AN43" s="3">
        <f t="shared" si="31"/>
        <v>159530.23246511695</v>
      </c>
      <c r="AO43" s="3">
        <f t="shared" si="31"/>
        <v>191496.22714238131</v>
      </c>
      <c r="AP43" s="3">
        <f t="shared" si="31"/>
        <v>191615.1342442095</v>
      </c>
      <c r="AQ43" s="3">
        <f t="shared" si="31"/>
        <v>199336.52258198077</v>
      </c>
      <c r="AR43" s="3">
        <f t="shared" si="31"/>
        <v>97887.69370693255</v>
      </c>
      <c r="AS43" s="3"/>
      <c r="AT43" s="3">
        <f t="shared" ref="AT43:BE43" si="32">SUM(AT40:AT42)</f>
        <v>70469.276648232146</v>
      </c>
      <c r="AU43" s="3">
        <f t="shared" si="32"/>
        <v>65518.076883389193</v>
      </c>
      <c r="AV43" s="3">
        <f t="shared" si="32"/>
        <v>79349.449156140472</v>
      </c>
      <c r="AW43" s="3">
        <f t="shared" si="32"/>
        <v>90199.909028029273</v>
      </c>
      <c r="AX43" s="3">
        <f t="shared" si="32"/>
        <v>121688.47641971745</v>
      </c>
      <c r="AY43" s="3">
        <f t="shared" si="32"/>
        <v>144247.83773003164</v>
      </c>
      <c r="AZ43" s="3">
        <f t="shared" si="32"/>
        <v>134215.7079681748</v>
      </c>
      <c r="BA43" s="3">
        <f t="shared" si="32"/>
        <v>164696.90634511327</v>
      </c>
      <c r="BB43" s="3">
        <f t="shared" si="32"/>
        <v>198238.26914018611</v>
      </c>
      <c r="BC43" s="3">
        <f t="shared" si="32"/>
        <v>198317.27607511729</v>
      </c>
      <c r="BD43" s="3">
        <f t="shared" si="32"/>
        <v>206417.02630608241</v>
      </c>
      <c r="BE43" s="3">
        <f t="shared" si="32"/>
        <v>104885.82821279501</v>
      </c>
      <c r="BF43" s="3"/>
      <c r="BG43" s="3">
        <f t="shared" ref="BG43:BR43" si="33">SUM(BG40:BG42)</f>
        <v>76594.963412609766</v>
      </c>
      <c r="BH43" s="3">
        <f t="shared" si="33"/>
        <v>72414.949743776175</v>
      </c>
      <c r="BI43" s="3">
        <f t="shared" si="33"/>
        <v>88174.487286211166</v>
      </c>
      <c r="BJ43" s="3">
        <f t="shared" si="33"/>
        <v>100694.40078765967</v>
      </c>
      <c r="BK43" s="3">
        <f t="shared" si="33"/>
        <v>135786.04248531</v>
      </c>
      <c r="BL43" s="3">
        <f t="shared" si="33"/>
        <v>161121.31387996243</v>
      </c>
      <c r="BM43" s="3">
        <f t="shared" si="33"/>
        <v>150844.45478659848</v>
      </c>
      <c r="BN43" s="3">
        <f t="shared" si="33"/>
        <v>184838.5509002324</v>
      </c>
      <c r="BO43" s="3">
        <f t="shared" si="33"/>
        <v>222165.75956318853</v>
      </c>
      <c r="BP43" s="3">
        <f t="shared" si="33"/>
        <v>222988.28912608977</v>
      </c>
      <c r="BQ43" s="3">
        <f t="shared" si="33"/>
        <v>232529.57431825681</v>
      </c>
      <c r="BR43" s="3">
        <f t="shared" si="33"/>
        <v>107187.40289878829</v>
      </c>
      <c r="BS43" s="3"/>
      <c r="BT43" s="2"/>
    </row>
    <row r="44" spans="1:72" ht="15.75" customHeight="1">
      <c r="A44" s="2"/>
      <c r="B44" s="2"/>
      <c r="C44" s="2"/>
      <c r="D44" s="2"/>
      <c r="E44" s="2"/>
      <c r="F44" s="2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2"/>
    </row>
    <row r="45" spans="1:72" ht="15.75" customHeight="1">
      <c r="A45" s="2" t="s">
        <v>95</v>
      </c>
      <c r="B45" s="2"/>
      <c r="C45" s="2"/>
      <c r="D45" s="2"/>
      <c r="E45" s="2"/>
      <c r="F45" s="2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2"/>
    </row>
    <row r="46" spans="1:72" ht="15.75" customHeight="1">
      <c r="A46" s="2" t="s">
        <v>115</v>
      </c>
      <c r="B46" s="2"/>
      <c r="C46" s="2"/>
      <c r="D46" s="2"/>
      <c r="E46" s="2"/>
      <c r="F46" s="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2"/>
    </row>
    <row r="47" spans="1:72" ht="15.75" customHeight="1">
      <c r="A47" s="2"/>
      <c r="B47" s="2"/>
      <c r="C47" s="2"/>
      <c r="D47" s="2"/>
      <c r="E47" s="2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2"/>
    </row>
    <row r="48" spans="1:7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sheetProtection sheet="1"/>
  <protectedRanges>
    <protectedRange sqref="A37:XFD37" name="Range1"/>
  </protectedRange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T1026"/>
  <sheetViews>
    <sheetView zoomScaleNormal="100" workbookViewId="0">
      <pane xSplit="5" ySplit="6" topLeftCell="F59" activePane="bottomRight" state="frozen"/>
      <selection pane="topRight" activeCell="F1" sqref="F1"/>
      <selection pane="bottomLeft" activeCell="A7" sqref="A7"/>
      <selection pane="bottomRight" activeCell="R69" sqref="R69"/>
    </sheetView>
  </sheetViews>
  <sheetFormatPr defaultColWidth="14.453125" defaultRowHeight="15" customHeight="1"/>
  <cols>
    <col min="1" max="1" width="3.7265625" customWidth="1"/>
    <col min="2" max="2" width="4.54296875" customWidth="1"/>
    <col min="3" max="4" width="3.7265625" customWidth="1"/>
    <col min="5" max="5" width="28.7265625" customWidth="1"/>
    <col min="6" max="71" width="11.7265625" customWidth="1"/>
    <col min="72" max="72" width="8.7265625" customWidth="1"/>
  </cols>
  <sheetData>
    <row r="1" spans="1:71" ht="14.5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1"/>
    </row>
    <row r="2" spans="1:71" ht="14.5">
      <c r="A2" s="1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1"/>
    </row>
    <row r="3" spans="1:71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6"/>
    </row>
    <row r="4" spans="1:71" ht="14.5">
      <c r="A4" s="11"/>
      <c r="B4" s="11"/>
      <c r="C4" s="11"/>
      <c r="D4" s="11"/>
      <c r="E4" s="11"/>
      <c r="F4" s="31"/>
      <c r="G4" s="32"/>
      <c r="H4" s="32"/>
      <c r="I4" s="32"/>
      <c r="J4" s="32"/>
      <c r="K4" s="32"/>
      <c r="L4" s="33" t="s">
        <v>98</v>
      </c>
      <c r="M4" s="32"/>
      <c r="N4" s="32"/>
      <c r="O4" s="32"/>
      <c r="P4" s="32"/>
      <c r="Q4" s="32"/>
      <c r="R4" s="34"/>
      <c r="S4" s="31"/>
      <c r="T4" s="32"/>
      <c r="U4" s="32"/>
      <c r="V4" s="32"/>
      <c r="W4" s="32"/>
      <c r="X4" s="32"/>
      <c r="Y4" s="33" t="s">
        <v>99</v>
      </c>
      <c r="Z4" s="32"/>
      <c r="AA4" s="32"/>
      <c r="AB4" s="32"/>
      <c r="AC4" s="32"/>
      <c r="AD4" s="32"/>
      <c r="AE4" s="34"/>
      <c r="AF4" s="31"/>
      <c r="AG4" s="32"/>
      <c r="AH4" s="32"/>
      <c r="AI4" s="32"/>
      <c r="AJ4" s="32"/>
      <c r="AK4" s="32"/>
      <c r="AL4" s="33" t="s">
        <v>100</v>
      </c>
      <c r="AM4" s="32"/>
      <c r="AN4" s="32"/>
      <c r="AO4" s="32"/>
      <c r="AP4" s="32"/>
      <c r="AQ4" s="32"/>
      <c r="AR4" s="34"/>
      <c r="AS4" s="31"/>
      <c r="AT4" s="32"/>
      <c r="AU4" s="32"/>
      <c r="AV4" s="32"/>
      <c r="AW4" s="32"/>
      <c r="AX4" s="32"/>
      <c r="AY4" s="33" t="s">
        <v>101</v>
      </c>
      <c r="AZ4" s="32"/>
      <c r="BA4" s="32"/>
      <c r="BB4" s="32"/>
      <c r="BC4" s="32"/>
      <c r="BD4" s="32"/>
      <c r="BE4" s="34"/>
      <c r="BF4" s="31"/>
      <c r="BG4" s="32"/>
      <c r="BH4" s="32"/>
      <c r="BI4" s="32"/>
      <c r="BJ4" s="32"/>
      <c r="BK4" s="32"/>
      <c r="BL4" s="33" t="s">
        <v>102</v>
      </c>
      <c r="BM4" s="32"/>
      <c r="BN4" s="32"/>
      <c r="BO4" s="32"/>
      <c r="BP4" s="32"/>
      <c r="BQ4" s="32"/>
      <c r="BR4" s="34"/>
      <c r="BS4" s="1"/>
    </row>
    <row r="5" spans="1:71" ht="14.5">
      <c r="A5" s="1"/>
      <c r="B5" s="1"/>
      <c r="C5" s="1"/>
      <c r="D5" s="1"/>
      <c r="E5" s="1"/>
      <c r="F5" s="35" t="str">
        <f>SOFP!F5</f>
        <v>Jan</v>
      </c>
      <c r="G5" s="35" t="str">
        <f>SOFP!G5</f>
        <v>Feb</v>
      </c>
      <c r="H5" s="35" t="str">
        <f>SOFP!H5</f>
        <v>Mar</v>
      </c>
      <c r="I5" s="35" t="str">
        <f>SOFP!I5</f>
        <v>Apr</v>
      </c>
      <c r="J5" s="35" t="str">
        <f>SOFP!J5</f>
        <v>May</v>
      </c>
      <c r="K5" s="35" t="str">
        <f>SOFP!K5</f>
        <v>Jun</v>
      </c>
      <c r="L5" s="35" t="str">
        <f>SOFP!L5</f>
        <v>Jul</v>
      </c>
      <c r="M5" s="35" t="str">
        <f>SOFP!M5</f>
        <v>Aug</v>
      </c>
      <c r="N5" s="35" t="str">
        <f>SOFP!N5</f>
        <v>Sep</v>
      </c>
      <c r="O5" s="35" t="str">
        <f>SOFP!O5</f>
        <v>Oct</v>
      </c>
      <c r="P5" s="35" t="str">
        <f>SOFP!P5</f>
        <v>Nov</v>
      </c>
      <c r="Q5" s="35" t="str">
        <f>SOFP!Q5</f>
        <v>Dec</v>
      </c>
      <c r="R5" s="36" t="s">
        <v>116</v>
      </c>
      <c r="S5" s="35" t="str">
        <f t="shared" ref="S5:AD5" si="0">F5</f>
        <v>Jan</v>
      </c>
      <c r="T5" s="35" t="str">
        <f t="shared" si="0"/>
        <v>Feb</v>
      </c>
      <c r="U5" s="35" t="str">
        <f t="shared" si="0"/>
        <v>Mar</v>
      </c>
      <c r="V5" s="35" t="str">
        <f t="shared" si="0"/>
        <v>Apr</v>
      </c>
      <c r="W5" s="35" t="str">
        <f t="shared" si="0"/>
        <v>May</v>
      </c>
      <c r="X5" s="35" t="str">
        <f t="shared" si="0"/>
        <v>Jun</v>
      </c>
      <c r="Y5" s="35" t="str">
        <f t="shared" si="0"/>
        <v>Jul</v>
      </c>
      <c r="Z5" s="35" t="str">
        <f t="shared" si="0"/>
        <v>Aug</v>
      </c>
      <c r="AA5" s="35" t="str">
        <f t="shared" si="0"/>
        <v>Sep</v>
      </c>
      <c r="AB5" s="35" t="str">
        <f t="shared" si="0"/>
        <v>Oct</v>
      </c>
      <c r="AC5" s="35" t="str">
        <f t="shared" si="0"/>
        <v>Nov</v>
      </c>
      <c r="AD5" s="35" t="str">
        <f t="shared" si="0"/>
        <v>Dec</v>
      </c>
      <c r="AE5" s="36" t="s">
        <v>116</v>
      </c>
      <c r="AF5" s="35" t="str">
        <f t="shared" ref="AF5:AQ5" si="1">S5</f>
        <v>Jan</v>
      </c>
      <c r="AG5" s="35" t="str">
        <f t="shared" si="1"/>
        <v>Feb</v>
      </c>
      <c r="AH5" s="35" t="str">
        <f t="shared" si="1"/>
        <v>Mar</v>
      </c>
      <c r="AI5" s="35" t="str">
        <f t="shared" si="1"/>
        <v>Apr</v>
      </c>
      <c r="AJ5" s="35" t="str">
        <f t="shared" si="1"/>
        <v>May</v>
      </c>
      <c r="AK5" s="35" t="str">
        <f t="shared" si="1"/>
        <v>Jun</v>
      </c>
      <c r="AL5" s="35" t="str">
        <f t="shared" si="1"/>
        <v>Jul</v>
      </c>
      <c r="AM5" s="35" t="str">
        <f t="shared" si="1"/>
        <v>Aug</v>
      </c>
      <c r="AN5" s="35" t="str">
        <f t="shared" si="1"/>
        <v>Sep</v>
      </c>
      <c r="AO5" s="35" t="str">
        <f t="shared" si="1"/>
        <v>Oct</v>
      </c>
      <c r="AP5" s="35" t="str">
        <f t="shared" si="1"/>
        <v>Nov</v>
      </c>
      <c r="AQ5" s="35" t="str">
        <f t="shared" si="1"/>
        <v>Dec</v>
      </c>
      <c r="AR5" s="36" t="s">
        <v>116</v>
      </c>
      <c r="AS5" s="35" t="str">
        <f t="shared" ref="AS5:BD5" si="2">AF5</f>
        <v>Jan</v>
      </c>
      <c r="AT5" s="35" t="str">
        <f t="shared" si="2"/>
        <v>Feb</v>
      </c>
      <c r="AU5" s="35" t="str">
        <f t="shared" si="2"/>
        <v>Mar</v>
      </c>
      <c r="AV5" s="35" t="str">
        <f t="shared" si="2"/>
        <v>Apr</v>
      </c>
      <c r="AW5" s="35" t="str">
        <f t="shared" si="2"/>
        <v>May</v>
      </c>
      <c r="AX5" s="35" t="str">
        <f t="shared" si="2"/>
        <v>Jun</v>
      </c>
      <c r="AY5" s="35" t="str">
        <f t="shared" si="2"/>
        <v>Jul</v>
      </c>
      <c r="AZ5" s="35" t="str">
        <f t="shared" si="2"/>
        <v>Aug</v>
      </c>
      <c r="BA5" s="35" t="str">
        <f t="shared" si="2"/>
        <v>Sep</v>
      </c>
      <c r="BB5" s="35" t="str">
        <f t="shared" si="2"/>
        <v>Oct</v>
      </c>
      <c r="BC5" s="35" t="str">
        <f t="shared" si="2"/>
        <v>Nov</v>
      </c>
      <c r="BD5" s="35" t="str">
        <f t="shared" si="2"/>
        <v>Dec</v>
      </c>
      <c r="BE5" s="36" t="s">
        <v>116</v>
      </c>
      <c r="BF5" s="35" t="str">
        <f t="shared" ref="BF5:BQ5" si="3">AS5</f>
        <v>Jan</v>
      </c>
      <c r="BG5" s="35" t="str">
        <f t="shared" si="3"/>
        <v>Feb</v>
      </c>
      <c r="BH5" s="35" t="str">
        <f t="shared" si="3"/>
        <v>Mar</v>
      </c>
      <c r="BI5" s="35" t="str">
        <f t="shared" si="3"/>
        <v>Apr</v>
      </c>
      <c r="BJ5" s="35" t="str">
        <f t="shared" si="3"/>
        <v>May</v>
      </c>
      <c r="BK5" s="35" t="str">
        <f t="shared" si="3"/>
        <v>Jun</v>
      </c>
      <c r="BL5" s="35" t="str">
        <f t="shared" si="3"/>
        <v>Jul</v>
      </c>
      <c r="BM5" s="35" t="str">
        <f t="shared" si="3"/>
        <v>Aug</v>
      </c>
      <c r="BN5" s="35" t="str">
        <f t="shared" si="3"/>
        <v>Sep</v>
      </c>
      <c r="BO5" s="35" t="str">
        <f t="shared" si="3"/>
        <v>Oct</v>
      </c>
      <c r="BP5" s="35" t="str">
        <f t="shared" si="3"/>
        <v>Nov</v>
      </c>
      <c r="BQ5" s="35" t="str">
        <f t="shared" si="3"/>
        <v>Dec</v>
      </c>
      <c r="BR5" s="36" t="s">
        <v>116</v>
      </c>
      <c r="BS5" s="36" t="s">
        <v>117</v>
      </c>
    </row>
    <row r="6" spans="1:71" ht="14.5">
      <c r="A6" s="1"/>
      <c r="B6" s="1" t="s">
        <v>34</v>
      </c>
      <c r="C6" s="1"/>
      <c r="D6" s="1"/>
      <c r="E6" s="1"/>
      <c r="F6" s="3">
        <v>1</v>
      </c>
      <c r="G6" s="3">
        <v>2</v>
      </c>
      <c r="H6" s="3">
        <v>3</v>
      </c>
      <c r="I6" s="3">
        <v>4</v>
      </c>
      <c r="J6" s="3">
        <v>5</v>
      </c>
      <c r="K6" s="3">
        <v>6</v>
      </c>
      <c r="L6" s="3">
        <v>7</v>
      </c>
      <c r="M6" s="3">
        <v>8</v>
      </c>
      <c r="N6" s="3">
        <v>9</v>
      </c>
      <c r="O6" s="3">
        <v>10</v>
      </c>
      <c r="P6" s="3">
        <v>11</v>
      </c>
      <c r="Q6" s="3">
        <v>12</v>
      </c>
      <c r="R6" s="37"/>
      <c r="S6" s="3">
        <v>13</v>
      </c>
      <c r="T6" s="3">
        <v>14</v>
      </c>
      <c r="U6" s="3">
        <v>15</v>
      </c>
      <c r="V6" s="3">
        <v>16</v>
      </c>
      <c r="W6" s="3">
        <v>17</v>
      </c>
      <c r="X6" s="3">
        <v>18</v>
      </c>
      <c r="Y6" s="3">
        <v>19</v>
      </c>
      <c r="Z6" s="3">
        <v>20</v>
      </c>
      <c r="AA6" s="3">
        <v>21</v>
      </c>
      <c r="AB6" s="3">
        <v>22</v>
      </c>
      <c r="AC6" s="3">
        <v>23</v>
      </c>
      <c r="AD6" s="3">
        <v>24</v>
      </c>
      <c r="AE6" s="37"/>
      <c r="AF6" s="3">
        <v>25</v>
      </c>
      <c r="AG6" s="3">
        <v>26</v>
      </c>
      <c r="AH6" s="3">
        <v>27</v>
      </c>
      <c r="AI6" s="3">
        <v>28</v>
      </c>
      <c r="AJ6" s="3">
        <v>29</v>
      </c>
      <c r="AK6" s="3">
        <v>30</v>
      </c>
      <c r="AL6" s="3">
        <v>31</v>
      </c>
      <c r="AM6" s="3">
        <v>32</v>
      </c>
      <c r="AN6" s="3">
        <v>33</v>
      </c>
      <c r="AO6" s="3">
        <v>34</v>
      </c>
      <c r="AP6" s="3">
        <v>35</v>
      </c>
      <c r="AQ6" s="3">
        <v>36</v>
      </c>
      <c r="AR6" s="37"/>
      <c r="AS6" s="3">
        <v>37</v>
      </c>
      <c r="AT6" s="3">
        <v>38</v>
      </c>
      <c r="AU6" s="3">
        <v>39</v>
      </c>
      <c r="AV6" s="3">
        <v>40</v>
      </c>
      <c r="AW6" s="3">
        <v>41</v>
      </c>
      <c r="AX6" s="3">
        <v>42</v>
      </c>
      <c r="AY6" s="3">
        <v>43</v>
      </c>
      <c r="AZ6" s="3">
        <v>44</v>
      </c>
      <c r="BA6" s="3">
        <v>45</v>
      </c>
      <c r="BB6" s="3">
        <v>46</v>
      </c>
      <c r="BC6" s="3">
        <v>47</v>
      </c>
      <c r="BD6" s="3">
        <v>48</v>
      </c>
      <c r="BE6" s="37"/>
      <c r="BF6" s="3">
        <v>49</v>
      </c>
      <c r="BG6" s="3">
        <v>50</v>
      </c>
      <c r="BH6" s="3">
        <v>51</v>
      </c>
      <c r="BI6" s="3">
        <v>52</v>
      </c>
      <c r="BJ6" s="3">
        <v>53</v>
      </c>
      <c r="BK6" s="3">
        <v>54</v>
      </c>
      <c r="BL6" s="3">
        <v>55</v>
      </c>
      <c r="BM6" s="3">
        <v>56</v>
      </c>
      <c r="BN6" s="3">
        <v>57</v>
      </c>
      <c r="BO6" s="3">
        <v>58</v>
      </c>
      <c r="BP6" s="3">
        <v>59</v>
      </c>
      <c r="BQ6" s="3">
        <v>60</v>
      </c>
      <c r="BR6" s="37"/>
      <c r="BS6" s="37"/>
    </row>
    <row r="7" spans="1:71" ht="14.5">
      <c r="A7" s="1"/>
      <c r="B7" s="1"/>
      <c r="C7" s="21" t="s">
        <v>639</v>
      </c>
      <c r="D7" s="1"/>
      <c r="E7" s="1"/>
      <c r="F7" s="3">
        <f>Events!B17</f>
        <v>1980</v>
      </c>
      <c r="G7" s="3">
        <f>Events!C17</f>
        <v>2310</v>
      </c>
      <c r="H7" s="3">
        <f>Events!D17</f>
        <v>2970</v>
      </c>
      <c r="I7" s="3">
        <f>Events!E17</f>
        <v>3630</v>
      </c>
      <c r="J7" s="3">
        <f>Events!F17</f>
        <v>3960</v>
      </c>
      <c r="K7" s="3">
        <f>Events!G17</f>
        <v>3630</v>
      </c>
      <c r="L7" s="3">
        <f>Events!H17</f>
        <v>3300</v>
      </c>
      <c r="M7" s="3">
        <f>Events!I17</f>
        <v>4125</v>
      </c>
      <c r="N7" s="3">
        <f>Events!J17</f>
        <v>4125</v>
      </c>
      <c r="O7" s="3">
        <f>Events!K17</f>
        <v>3960</v>
      </c>
      <c r="P7" s="3">
        <f>Events!L17</f>
        <v>2970</v>
      </c>
      <c r="Q7" s="3">
        <f>Events!M17</f>
        <v>2640</v>
      </c>
      <c r="R7" s="37">
        <f t="shared" ref="R7:R13" si="4">SUM(F7:Q7)</f>
        <v>39600</v>
      </c>
      <c r="S7" s="3">
        <f>IF(Events!$F$3="No",F7,F7*(1+Assumptions!$D$73))</f>
        <v>2277</v>
      </c>
      <c r="T7" s="3">
        <f>IF(Events!$F$3="No",G7,G7*(1+Assumptions!$D$73))</f>
        <v>2656.5</v>
      </c>
      <c r="U7" s="3">
        <f>IF(Events!$F$3="No",H7,H7*(1+Assumptions!$D$73))</f>
        <v>3415.4999999999995</v>
      </c>
      <c r="V7" s="3">
        <f>IF(Events!$F$3="No",I7,I7*(1+Assumptions!$D$73))</f>
        <v>4174.5</v>
      </c>
      <c r="W7" s="3">
        <f>IF(Events!$F$3="No",J7,J7*(1+Assumptions!$D$73))</f>
        <v>4554</v>
      </c>
      <c r="X7" s="3">
        <f>IF(Events!$F$3="No",K7,K7*(1+Assumptions!$D$73))</f>
        <v>4174.5</v>
      </c>
      <c r="Y7" s="3">
        <f>IF(Events!$F$3="No",L7,L7*(1+Assumptions!$D$73))</f>
        <v>3794.9999999999995</v>
      </c>
      <c r="Z7" s="3">
        <f>IF(Events!$F$3="No",M7,M7*(1+Assumptions!$D$73))</f>
        <v>4743.75</v>
      </c>
      <c r="AA7" s="3">
        <f>IF(Events!$F$3="No",N7,N7*(1+Assumptions!$D$73))</f>
        <v>4743.75</v>
      </c>
      <c r="AB7" s="3">
        <f>IF(Events!$F$3="No",O7,O7*(1+Assumptions!$D$73))</f>
        <v>4554</v>
      </c>
      <c r="AC7" s="3">
        <f>IF(Events!$F$3="No",P7,P7*(1+Assumptions!$D$73))</f>
        <v>3415.4999999999995</v>
      </c>
      <c r="AD7" s="3">
        <f>IF(Events!$F$3="No",Q7,Q7*(1+Assumptions!$D$73))</f>
        <v>3035.9999999999995</v>
      </c>
      <c r="AE7" s="37">
        <f t="shared" ref="AE7:AE13" si="5">SUM(S7:AD7)</f>
        <v>45540</v>
      </c>
      <c r="AF7" s="3">
        <f>IF(Events!$F$3="No",S7,S7*(1+Assumptions!$E$73))</f>
        <v>2504.7000000000003</v>
      </c>
      <c r="AG7" s="3">
        <f>IF(Events!$F$3="No",T7,T7*(1+Assumptions!$E$73))</f>
        <v>2922.15</v>
      </c>
      <c r="AH7" s="3">
        <f>IF(Events!$F$3="No",U7,U7*(1+Assumptions!$E$73))</f>
        <v>3757.0499999999997</v>
      </c>
      <c r="AI7" s="3">
        <f>IF(Events!$F$3="No",V7,V7*(1+Assumptions!$E$73))</f>
        <v>4591.9500000000007</v>
      </c>
      <c r="AJ7" s="3">
        <f>IF(Events!$F$3="No",W7,W7*(1+Assumptions!$E$73))</f>
        <v>5009.4000000000005</v>
      </c>
      <c r="AK7" s="3">
        <f>IF(Events!$F$3="No",X7,X7*(1+Assumptions!$E$73))</f>
        <v>4591.9500000000007</v>
      </c>
      <c r="AL7" s="3">
        <f>IF(Events!$F$3="No",Y7,Y7*(1+Assumptions!$E$73))</f>
        <v>4174.5</v>
      </c>
      <c r="AM7" s="3">
        <f>IF(Events!$F$3="No",Z7,Z7*(1+Assumptions!$E$73))</f>
        <v>5218.125</v>
      </c>
      <c r="AN7" s="3">
        <f>IF(Events!$F$3="No",AA7,AA7*(1+Assumptions!$E$73))</f>
        <v>5218.125</v>
      </c>
      <c r="AO7" s="3">
        <f>IF(Events!$F$3="No",AB7,AB7*(1+Assumptions!$E$73))</f>
        <v>5009.4000000000005</v>
      </c>
      <c r="AP7" s="3">
        <f>IF(Events!$F$3="No",AC7,AC7*(1+Assumptions!$E$73))</f>
        <v>3757.0499999999997</v>
      </c>
      <c r="AQ7" s="3">
        <f>IF(Events!$F$3="No",AD7,AD7*(1+Assumptions!$E$73))</f>
        <v>3339.6</v>
      </c>
      <c r="AR7" s="37">
        <f t="shared" ref="AR7" si="6">SUM(AF7:AQ7)</f>
        <v>50094</v>
      </c>
      <c r="AS7" s="3">
        <f>IF(Events!$F$3="No",AF7,AF7*(1+Assumptions!$F$73))</f>
        <v>2629.9350000000004</v>
      </c>
      <c r="AT7" s="3">
        <f>IF(Events!$F$3="No",AG7,AG7*(1+Assumptions!$F$73))</f>
        <v>3068.2575000000002</v>
      </c>
      <c r="AU7" s="3">
        <f>IF(Events!$F$3="No",AH7,AH7*(1+Assumptions!$F$73))</f>
        <v>3944.9024999999997</v>
      </c>
      <c r="AV7" s="3">
        <f>IF(Events!$F$3="No",AI7,AI7*(1+Assumptions!$F$73))</f>
        <v>4821.5475000000006</v>
      </c>
      <c r="AW7" s="3">
        <f>IF(Events!$F$3="No",AJ7,AJ7*(1+Assumptions!$F$73))</f>
        <v>5259.8700000000008</v>
      </c>
      <c r="AX7" s="3">
        <f>IF(Events!$F$3="No",AK7,AK7*(1+Assumptions!$F$73))</f>
        <v>4821.5475000000006</v>
      </c>
      <c r="AY7" s="3">
        <f>IF(Events!$F$3="No",AL7,AL7*(1+Assumptions!$F$73))</f>
        <v>4383.2250000000004</v>
      </c>
      <c r="AZ7" s="3">
        <f>IF(Events!$F$3="No",AM7,AM7*(1+Assumptions!$F$73))</f>
        <v>5479.03125</v>
      </c>
      <c r="BA7" s="3">
        <f>IF(Events!$F$3="No",AN7,AN7*(1+Assumptions!$F$73))</f>
        <v>5479.03125</v>
      </c>
      <c r="BB7" s="3">
        <f>IF(Events!$F$3="No",AO7,AO7*(1+Assumptions!$F$73))</f>
        <v>5259.8700000000008</v>
      </c>
      <c r="BC7" s="3">
        <f>IF(Events!$F$3="No",AP7,AP7*(1+Assumptions!$F$73))</f>
        <v>3944.9024999999997</v>
      </c>
      <c r="BD7" s="3">
        <f>IF(Events!$F$3="No",AQ7,AQ7*(1+Assumptions!$F$73))</f>
        <v>3506.58</v>
      </c>
      <c r="BE7" s="37">
        <f t="shared" ref="BE7" si="7">SUM(AS7:BD7)</f>
        <v>52598.700000000004</v>
      </c>
      <c r="BF7" s="3">
        <f>IF(Events!$F$3="No",AS7,AS7*(1+Assumptions!$G$73))</f>
        <v>2761.4317500000006</v>
      </c>
      <c r="BG7" s="3">
        <f>IF(Events!$F$3="No",AT7,AT7*(1+Assumptions!$G$73))</f>
        <v>3221.6703750000001</v>
      </c>
      <c r="BH7" s="3">
        <f>IF(Events!$F$3="No",AU7,AU7*(1+Assumptions!$G$73))</f>
        <v>4142.1476249999996</v>
      </c>
      <c r="BI7" s="3">
        <f>IF(Events!$F$3="No",AV7,AV7*(1+Assumptions!$G$73))</f>
        <v>5062.6248750000004</v>
      </c>
      <c r="BJ7" s="3">
        <f>IF(Events!$F$3="No",AW7,AW7*(1+Assumptions!$G$73))</f>
        <v>5522.8635000000013</v>
      </c>
      <c r="BK7" s="3">
        <f>IF(Events!$F$3="No",AX7,AX7*(1+Assumptions!$G$73))</f>
        <v>5062.6248750000004</v>
      </c>
      <c r="BL7" s="3">
        <f>IF(Events!$F$3="No",AY7,AY7*(1+Assumptions!$G$73))</f>
        <v>4602.3862500000005</v>
      </c>
      <c r="BM7" s="3">
        <f>IF(Events!$F$3="No",AZ7,AZ7*(1+Assumptions!$G$73))</f>
        <v>5752.9828125000004</v>
      </c>
      <c r="BN7" s="3">
        <f>IF(Events!$F$3="No",BA7,BA7*(1+Assumptions!$G$73))</f>
        <v>5752.9828125000004</v>
      </c>
      <c r="BO7" s="3">
        <f>IF(Events!$F$3="No",BB7,BB7*(1+Assumptions!$G$73))</f>
        <v>5522.8635000000013</v>
      </c>
      <c r="BP7" s="3">
        <f>IF(Events!$F$3="No",BC7,BC7*(1+Assumptions!$G$73))</f>
        <v>4142.1476249999996</v>
      </c>
      <c r="BQ7" s="3">
        <f>IF(Events!$F$3="No",BD7,BD7*(1+Assumptions!$G$73))</f>
        <v>3681.9090000000001</v>
      </c>
      <c r="BR7" s="37">
        <f t="shared" ref="BR7" si="8">SUM(BF7:BQ7)</f>
        <v>55228.635000000002</v>
      </c>
      <c r="BS7" s="37"/>
    </row>
    <row r="8" spans="1:71" ht="14.5">
      <c r="A8" s="2"/>
      <c r="B8" s="2"/>
      <c r="C8" s="21" t="s">
        <v>118</v>
      </c>
      <c r="D8" s="2"/>
      <c r="E8" s="2"/>
      <c r="F8" s="3">
        <f>'Beer Revenue'!L132</f>
        <v>693.67109263392854</v>
      </c>
      <c r="G8" s="3">
        <f>'Beer Revenue'!M132</f>
        <v>737.49171273311481</v>
      </c>
      <c r="H8" s="3">
        <f>'Beer Revenue'!N132</f>
        <v>1040.5066389508929</v>
      </c>
      <c r="I8" s="3">
        <f>'Beer Revenue'!O132</f>
        <v>1230.7067772537446</v>
      </c>
      <c r="J8" s="3">
        <f>'Beer Revenue'!P132</f>
        <v>1387.3421852678571</v>
      </c>
      <c r="K8" s="3">
        <f>'Beer Revenue'!Q132</f>
        <v>1230.7067772537446</v>
      </c>
      <c r="L8" s="3">
        <f>'Beer Revenue'!R132</f>
        <v>1156.1184877232145</v>
      </c>
      <c r="M8" s="3">
        <f>'Beer Revenue'!S132</f>
        <v>1445.1481096540181</v>
      </c>
      <c r="N8" s="3">
        <f>'Beer Revenue'!T132</f>
        <v>1398.5304286974367</v>
      </c>
      <c r="O8" s="3">
        <f>'Beer Revenue'!U132</f>
        <v>1387.3421852678571</v>
      </c>
      <c r="P8" s="3">
        <f>'Beer Revenue'!V132</f>
        <v>1006.9419086621546</v>
      </c>
      <c r="Q8" s="3">
        <f>'Beer Revenue'!W132</f>
        <v>924.89479017857161</v>
      </c>
      <c r="R8" s="37">
        <f t="shared" si="4"/>
        <v>13639.401094276536</v>
      </c>
      <c r="S8" s="3">
        <f>'Beer Revenue'!Y132</f>
        <v>797.72175652901785</v>
      </c>
      <c r="T8" s="3">
        <f>'Beer Revenue'!Z132</f>
        <v>848.11546964308218</v>
      </c>
      <c r="U8" s="3">
        <f>'Beer Revenue'!AA132</f>
        <v>1196.5826347935269</v>
      </c>
      <c r="V8" s="3">
        <f>'Beer Revenue'!AB132</f>
        <v>1415.3127938418061</v>
      </c>
      <c r="W8" s="3">
        <f>'Beer Revenue'!AC132</f>
        <v>1595.4435130580357</v>
      </c>
      <c r="X8" s="3">
        <f>'Beer Revenue'!AD132</f>
        <v>1415.3127938418061</v>
      </c>
      <c r="Y8" s="3">
        <f>'Beer Revenue'!AE132</f>
        <v>1329.5362608816965</v>
      </c>
      <c r="Z8" s="3">
        <f>'Beer Revenue'!AF132</f>
        <v>1661.9203261021205</v>
      </c>
      <c r="AA8" s="3">
        <f>'Beer Revenue'!AG132</f>
        <v>1608.3099930020519</v>
      </c>
      <c r="AB8" s="3">
        <f>'Beer Revenue'!AH132</f>
        <v>1595.4435130580357</v>
      </c>
      <c r="AC8" s="3">
        <f>'Beer Revenue'!AI132</f>
        <v>1157.9831949614775</v>
      </c>
      <c r="AD8" s="3">
        <f>'Beer Revenue'!AJ132</f>
        <v>1063.6290087053571</v>
      </c>
      <c r="AE8" s="37">
        <f t="shared" si="5"/>
        <v>15685.311258418014</v>
      </c>
      <c r="AF8" s="3">
        <f>'Beer Revenue'!AL132</f>
        <v>912.59368946919642</v>
      </c>
      <c r="AG8" s="3">
        <f>'Beer Revenue'!AM132</f>
        <v>970.24409727168609</v>
      </c>
      <c r="AH8" s="3">
        <f>'Beer Revenue'!AN132</f>
        <v>1368.8905342037951</v>
      </c>
      <c r="AI8" s="3">
        <f>'Beer Revenue'!AO132</f>
        <v>1619.1178361550262</v>
      </c>
      <c r="AJ8" s="3">
        <f>'Beer Revenue'!AP132</f>
        <v>1825.1873789383928</v>
      </c>
      <c r="AK8" s="3">
        <f>'Beer Revenue'!AQ132</f>
        <v>1619.1178361550262</v>
      </c>
      <c r="AL8" s="3">
        <f>'Beer Revenue'!AR132</f>
        <v>1520.9894824486607</v>
      </c>
      <c r="AM8" s="3">
        <f>'Beer Revenue'!AS132</f>
        <v>1901.2368530608262</v>
      </c>
      <c r="AN8" s="3">
        <f>'Beer Revenue'!AT132</f>
        <v>1839.9066319943477</v>
      </c>
      <c r="AO8" s="3">
        <f>'Beer Revenue'!AU132</f>
        <v>1825.1873789383928</v>
      </c>
      <c r="AP8" s="3">
        <f>'Beer Revenue'!AV132</f>
        <v>1324.7327750359307</v>
      </c>
      <c r="AQ8" s="3">
        <f>'Beer Revenue'!AW132</f>
        <v>1216.7915859589289</v>
      </c>
      <c r="AR8" s="37">
        <f t="shared" ref="AR8:AR13" si="9">SUM(AF8:AQ8)</f>
        <v>17943.996079630208</v>
      </c>
      <c r="AS8" s="3">
        <f>'Beer Revenue'!AY132</f>
        <v>958.22337394265639</v>
      </c>
      <c r="AT8" s="3">
        <f>'Beer Revenue'!AZ132</f>
        <v>1018.7563021352704</v>
      </c>
      <c r="AU8" s="3">
        <f>'Beer Revenue'!BA132</f>
        <v>1437.3350609139848</v>
      </c>
      <c r="AV8" s="3">
        <f>'Beer Revenue'!BB132</f>
        <v>1700.0737279627779</v>
      </c>
      <c r="AW8" s="3">
        <f>'Beer Revenue'!BC132</f>
        <v>1916.4467478853128</v>
      </c>
      <c r="AX8" s="3">
        <f>'Beer Revenue'!BD132</f>
        <v>1700.0737279627779</v>
      </c>
      <c r="AY8" s="3">
        <f>'Beer Revenue'!BE132</f>
        <v>1597.0389565710939</v>
      </c>
      <c r="AZ8" s="3">
        <f>'Beer Revenue'!BF132</f>
        <v>1996.2986957138676</v>
      </c>
      <c r="BA8" s="3">
        <f>'Beer Revenue'!BG132</f>
        <v>1931.9019635940654</v>
      </c>
      <c r="BB8" s="3">
        <f>'Beer Revenue'!BH132</f>
        <v>1916.4467478853128</v>
      </c>
      <c r="BC8" s="3">
        <f>'Beer Revenue'!BI132</f>
        <v>1390.969413787727</v>
      </c>
      <c r="BD8" s="3">
        <f>'Beer Revenue'!BJ132</f>
        <v>1277.6311652568754</v>
      </c>
      <c r="BE8" s="37">
        <f t="shared" ref="BE8:BE13" si="10">SUM(AS8:BD8)</f>
        <v>18841.195883611723</v>
      </c>
      <c r="BF8" s="3">
        <f>'Beer Revenue'!BL132</f>
        <v>1046.3799243453809</v>
      </c>
      <c r="BG8" s="3">
        <f>'Beer Revenue'!BM132</f>
        <v>1112.4818819317154</v>
      </c>
      <c r="BH8" s="3">
        <f>'Beer Revenue'!BN132</f>
        <v>1569.5698865180714</v>
      </c>
      <c r="BI8" s="3">
        <f>'Beer Revenue'!BO132</f>
        <v>1856.4805109353533</v>
      </c>
      <c r="BJ8" s="3">
        <f>'Beer Revenue'!BP132</f>
        <v>2092.7598486907618</v>
      </c>
      <c r="BK8" s="3">
        <f>'Beer Revenue'!BQ132</f>
        <v>1856.4805109353533</v>
      </c>
      <c r="BL8" s="3">
        <f>'Beer Revenue'!BR132</f>
        <v>1743.9665405756348</v>
      </c>
      <c r="BM8" s="3">
        <f>'Beer Revenue'!BS132</f>
        <v>2179.9581757195438</v>
      </c>
      <c r="BN8" s="3">
        <f>'Beer Revenue'!BT132</f>
        <v>2109.6369442447194</v>
      </c>
      <c r="BO8" s="3">
        <f>'Beer Revenue'!BU132</f>
        <v>2092.7598486907618</v>
      </c>
      <c r="BP8" s="3">
        <f>'Beer Revenue'!BV132</f>
        <v>1518.9385998561984</v>
      </c>
      <c r="BQ8" s="3">
        <f>'Beer Revenue'!BW132</f>
        <v>1395.1732324605077</v>
      </c>
      <c r="BR8" s="37">
        <f t="shared" ref="BR8:BR13" si="11">SUM(BF8:BQ8)</f>
        <v>20574.585904904001</v>
      </c>
      <c r="BS8" s="37">
        <f t="shared" ref="BS8:BS13" si="12">R8+AE8+AR8+BE8+BR8</f>
        <v>86684.490220840482</v>
      </c>
    </row>
    <row r="9" spans="1:71" ht="14.5">
      <c r="A9" s="2"/>
      <c r="B9" s="2"/>
      <c r="C9" s="21" t="s">
        <v>36</v>
      </c>
      <c r="D9" s="2"/>
      <c r="E9" s="2"/>
      <c r="F9" s="3">
        <f>'Beer Revenue'!L65</f>
        <v>21030.462</v>
      </c>
      <c r="G9" s="3">
        <f>'Beer Revenue'!M65</f>
        <v>22358.999249999997</v>
      </c>
      <c r="H9" s="3">
        <f>'Beer Revenue'!N65</f>
        <v>31545.693000000003</v>
      </c>
      <c r="I9" s="3">
        <f>'Beer Revenue'!O65</f>
        <v>37312.11</v>
      </c>
      <c r="J9" s="3">
        <f>'Beer Revenue'!P65</f>
        <v>42060.923999999999</v>
      </c>
      <c r="K9" s="3">
        <f>'Beer Revenue'!Q65</f>
        <v>37312.11</v>
      </c>
      <c r="L9" s="3">
        <f>'Beer Revenue'!R65</f>
        <v>35050.769999999997</v>
      </c>
      <c r="M9" s="3">
        <f>'Beer Revenue'!S65</f>
        <v>43813.462499999994</v>
      </c>
      <c r="N9" s="3">
        <f>'Beer Revenue'!T65</f>
        <v>42400.124999999993</v>
      </c>
      <c r="O9" s="3">
        <f>'Beer Revenue'!U65</f>
        <v>42060.923999999999</v>
      </c>
      <c r="P9" s="3">
        <f>'Beer Revenue'!V65</f>
        <v>30528.090000000007</v>
      </c>
      <c r="Q9" s="3">
        <f>'Beer Revenue'!W65</f>
        <v>28040.616000000005</v>
      </c>
      <c r="R9" s="37">
        <f t="shared" si="4"/>
        <v>413514.28574999998</v>
      </c>
      <c r="S9" s="3">
        <f>'Beer Revenue'!Y65</f>
        <v>24185.031300000002</v>
      </c>
      <c r="T9" s="3">
        <f>'Beer Revenue'!Z65</f>
        <v>25712.84913749999</v>
      </c>
      <c r="U9" s="3">
        <f>'Beer Revenue'!AA65</f>
        <v>36277.546949999996</v>
      </c>
      <c r="V9" s="3">
        <f>'Beer Revenue'!AB65</f>
        <v>42908.926500000009</v>
      </c>
      <c r="W9" s="3">
        <f>'Beer Revenue'!AC65</f>
        <v>48370.062600000005</v>
      </c>
      <c r="X9" s="3">
        <f>'Beer Revenue'!AD65</f>
        <v>42908.926500000009</v>
      </c>
      <c r="Y9" s="3">
        <f>'Beer Revenue'!AE65</f>
        <v>40308.385499999997</v>
      </c>
      <c r="Z9" s="3">
        <f>'Beer Revenue'!AF65</f>
        <v>50385.48187499999</v>
      </c>
      <c r="AA9" s="3">
        <f>'Beer Revenue'!AG65</f>
        <v>48760.143749999996</v>
      </c>
      <c r="AB9" s="3">
        <f>'Beer Revenue'!AH65</f>
        <v>48370.062600000005</v>
      </c>
      <c r="AC9" s="3">
        <f>'Beer Revenue'!AI65</f>
        <v>35107.303500000002</v>
      </c>
      <c r="AD9" s="3">
        <f>'Beer Revenue'!AJ65</f>
        <v>32246.708400000003</v>
      </c>
      <c r="AE9" s="37">
        <f t="shared" si="5"/>
        <v>475541.42861249996</v>
      </c>
      <c r="AF9" s="3">
        <f>'Beer Revenue'!AL65</f>
        <v>27667.675807200001</v>
      </c>
      <c r="AG9" s="3">
        <f>'Beer Revenue'!AM65</f>
        <v>29415.4994133</v>
      </c>
      <c r="AH9" s="3">
        <f>'Beer Revenue'!AN65</f>
        <v>41501.513710800013</v>
      </c>
      <c r="AI9" s="3">
        <f>'Beer Revenue'!AO65</f>
        <v>49087.811916000006</v>
      </c>
      <c r="AJ9" s="3">
        <f>'Beer Revenue'!AP65</f>
        <v>55335.351614400002</v>
      </c>
      <c r="AK9" s="3">
        <f>'Beer Revenue'!AQ65</f>
        <v>49087.811916000006</v>
      </c>
      <c r="AL9" s="3">
        <f>'Beer Revenue'!AR65</f>
        <v>46112.793012000009</v>
      </c>
      <c r="AM9" s="3">
        <f>'Beer Revenue'!AS65</f>
        <v>57640.991265000004</v>
      </c>
      <c r="AN9" s="3">
        <f>'Beer Revenue'!AT65</f>
        <v>55781.604449999992</v>
      </c>
      <c r="AO9" s="3">
        <f>'Beer Revenue'!AU65</f>
        <v>55335.351614400002</v>
      </c>
      <c r="AP9" s="3">
        <f>'Beer Revenue'!AV65</f>
        <v>40162.755203999986</v>
      </c>
      <c r="AQ9" s="3">
        <f>'Beer Revenue'!AW65</f>
        <v>36890.234409600009</v>
      </c>
      <c r="AR9" s="37">
        <f t="shared" si="9"/>
        <v>544019.39433270006</v>
      </c>
      <c r="AS9" s="3">
        <f>'Beer Revenue'!AY65</f>
        <v>29051.059597560001</v>
      </c>
      <c r="AT9" s="3">
        <f>'Beer Revenue'!AZ65</f>
        <v>30886.274383965003</v>
      </c>
      <c r="AU9" s="3">
        <f>'Beer Revenue'!BA65</f>
        <v>43576.589396340001</v>
      </c>
      <c r="AV9" s="3">
        <f>'Beer Revenue'!BB65</f>
        <v>51542.202511800002</v>
      </c>
      <c r="AW9" s="3">
        <f>'Beer Revenue'!BC65</f>
        <v>58102.119195120002</v>
      </c>
      <c r="AX9" s="3">
        <f>'Beer Revenue'!BD65</f>
        <v>51542.202511800002</v>
      </c>
      <c r="AY9" s="3">
        <f>'Beer Revenue'!BE65</f>
        <v>48418.432662600011</v>
      </c>
      <c r="AZ9" s="3">
        <f>'Beer Revenue'!BF65</f>
        <v>60523.040828250007</v>
      </c>
      <c r="BA9" s="3">
        <f>'Beer Revenue'!BG65</f>
        <v>58570.684672500007</v>
      </c>
      <c r="BB9" s="3">
        <f>'Beer Revenue'!BH65</f>
        <v>58102.119195120002</v>
      </c>
      <c r="BC9" s="3">
        <f>'Beer Revenue'!BI65</f>
        <v>42170.892964200015</v>
      </c>
      <c r="BD9" s="3">
        <f>'Beer Revenue'!BJ65</f>
        <v>38734.746130079999</v>
      </c>
      <c r="BE9" s="37">
        <f t="shared" si="10"/>
        <v>571220.36404933501</v>
      </c>
      <c r="BF9" s="3">
        <f>'Beer Revenue'!BL65</f>
        <v>31723.757080535521</v>
      </c>
      <c r="BG9" s="3">
        <f>'Beer Revenue'!BM65</f>
        <v>33727.811627289782</v>
      </c>
      <c r="BH9" s="3">
        <f>'Beer Revenue'!BN65</f>
        <v>47585.635620803288</v>
      </c>
      <c r="BI9" s="3">
        <f>'Beer Revenue'!BO65</f>
        <v>56284.085142885626</v>
      </c>
      <c r="BJ9" s="3">
        <f>'Beer Revenue'!BP65</f>
        <v>63447.514161071042</v>
      </c>
      <c r="BK9" s="3">
        <f>'Beer Revenue'!BQ65</f>
        <v>56284.085142885626</v>
      </c>
      <c r="BL9" s="3">
        <f>'Beer Revenue'!BR65</f>
        <v>52872.928467559206</v>
      </c>
      <c r="BM9" s="3">
        <f>'Beer Revenue'!BS65</f>
        <v>66091.160584448997</v>
      </c>
      <c r="BN9" s="3">
        <f>'Beer Revenue'!BT65</f>
        <v>63959.187662370001</v>
      </c>
      <c r="BO9" s="3">
        <f>'Beer Revenue'!BU65</f>
        <v>63447.514161071042</v>
      </c>
      <c r="BP9" s="3">
        <f>'Beer Revenue'!BV65</f>
        <v>46050.615116906418</v>
      </c>
      <c r="BQ9" s="3">
        <f>'Beer Revenue'!BW65</f>
        <v>42298.342774047363</v>
      </c>
      <c r="BR9" s="37">
        <f t="shared" si="11"/>
        <v>623772.63754187408</v>
      </c>
      <c r="BS9" s="37">
        <f t="shared" si="12"/>
        <v>2628068.110286409</v>
      </c>
    </row>
    <row r="10" spans="1:71" ht="14.5">
      <c r="A10" s="2"/>
      <c r="B10" s="2"/>
      <c r="C10" s="21" t="s">
        <v>543</v>
      </c>
      <c r="D10" s="2"/>
      <c r="E10" s="2"/>
      <c r="F10" s="3">
        <f>'Beer Revenue'!L81</f>
        <v>1325.5954285714283</v>
      </c>
      <c r="G10" s="3">
        <f>'Beer Revenue'!M81</f>
        <v>1409.3359999999996</v>
      </c>
      <c r="H10" s="3">
        <f>'Beer Revenue'!N81</f>
        <v>1988.3931428571425</v>
      </c>
      <c r="I10" s="3">
        <f>'Beer Revenue'!O81</f>
        <v>2351.8628571428576</v>
      </c>
      <c r="J10" s="3">
        <f>'Beer Revenue'!P81</f>
        <v>2651.1908571428567</v>
      </c>
      <c r="K10" s="3">
        <f>'Beer Revenue'!Q81</f>
        <v>2351.8628571428576</v>
      </c>
      <c r="L10" s="3">
        <f>'Beer Revenue'!R81</f>
        <v>2209.3257142857146</v>
      </c>
      <c r="M10" s="3">
        <f>'Beer Revenue'!S81</f>
        <v>2761.6571428571428</v>
      </c>
      <c r="N10" s="3">
        <f>'Beer Revenue'!T81</f>
        <v>2672.571428571428</v>
      </c>
      <c r="O10" s="3">
        <f>'Beer Revenue'!U81</f>
        <v>2651.1908571428567</v>
      </c>
      <c r="P10" s="3">
        <f>'Beer Revenue'!V81</f>
        <v>1924.2514285714283</v>
      </c>
      <c r="Q10" s="3">
        <f>'Beer Revenue'!W81</f>
        <v>1767.4605714285717</v>
      </c>
      <c r="R10" s="37">
        <f t="shared" si="4"/>
        <v>26064.698285714283</v>
      </c>
      <c r="S10" s="3">
        <f>'Beer Revenue'!Y81</f>
        <v>1524.4347428571427</v>
      </c>
      <c r="T10" s="3">
        <f>'Beer Revenue'!Z81</f>
        <v>1620.7364</v>
      </c>
      <c r="U10" s="3">
        <f>'Beer Revenue'!AA81</f>
        <v>2286.6521142857146</v>
      </c>
      <c r="V10" s="3">
        <f>'Beer Revenue'!AB81</f>
        <v>2704.6422857142857</v>
      </c>
      <c r="W10" s="3">
        <f>'Beer Revenue'!AC81</f>
        <v>3048.8694857142855</v>
      </c>
      <c r="X10" s="3">
        <f>'Beer Revenue'!AD81</f>
        <v>2704.6422857142857</v>
      </c>
      <c r="Y10" s="3">
        <f>'Beer Revenue'!AE81</f>
        <v>2540.7245714285714</v>
      </c>
      <c r="Z10" s="3">
        <f>'Beer Revenue'!AF81</f>
        <v>3175.9057142857141</v>
      </c>
      <c r="AA10" s="3">
        <f>'Beer Revenue'!AG81</f>
        <v>3073.4571428571426</v>
      </c>
      <c r="AB10" s="3">
        <f>'Beer Revenue'!AH81</f>
        <v>3048.8694857142855</v>
      </c>
      <c r="AC10" s="3">
        <f>'Beer Revenue'!AI81</f>
        <v>2212.8891428571424</v>
      </c>
      <c r="AD10" s="3">
        <f>'Beer Revenue'!AJ81</f>
        <v>2032.5796571428573</v>
      </c>
      <c r="AE10" s="37">
        <f t="shared" si="5"/>
        <v>29974.403028571433</v>
      </c>
      <c r="AF10" s="3">
        <f>'Beer Revenue'!AL81</f>
        <v>1743.9533458285714</v>
      </c>
      <c r="AG10" s="3">
        <f>'Beer Revenue'!AM81</f>
        <v>1854.1224416000002</v>
      </c>
      <c r="AH10" s="3">
        <f>'Beer Revenue'!AN81</f>
        <v>2615.930018742858</v>
      </c>
      <c r="AI10" s="3">
        <f>'Beer Revenue'!AO81</f>
        <v>3094.1107748571421</v>
      </c>
      <c r="AJ10" s="3">
        <f>'Beer Revenue'!AP81</f>
        <v>3487.9066916571428</v>
      </c>
      <c r="AK10" s="3">
        <f>'Beer Revenue'!AQ81</f>
        <v>3094.1107748571421</v>
      </c>
      <c r="AL10" s="3">
        <f>'Beer Revenue'!AR81</f>
        <v>2906.5889097142854</v>
      </c>
      <c r="AM10" s="3">
        <f>'Beer Revenue'!AS81</f>
        <v>3633.2361371428574</v>
      </c>
      <c r="AN10" s="3">
        <f>'Beer Revenue'!AT81</f>
        <v>3516.0349714285712</v>
      </c>
      <c r="AO10" s="3">
        <f>'Beer Revenue'!AU81</f>
        <v>3487.9066916571428</v>
      </c>
      <c r="AP10" s="3">
        <f>'Beer Revenue'!AV81</f>
        <v>2531.5451794285714</v>
      </c>
      <c r="AQ10" s="3">
        <f>'Beer Revenue'!AW81</f>
        <v>2325.2711277714288</v>
      </c>
      <c r="AR10" s="37">
        <f t="shared" si="9"/>
        <v>34290.717064685712</v>
      </c>
      <c r="AS10" s="3">
        <f>'Beer Revenue'!AY81</f>
        <v>1831.15101312</v>
      </c>
      <c r="AT10" s="3">
        <f>'Beer Revenue'!AZ81</f>
        <v>1946.8285636800001</v>
      </c>
      <c r="AU10" s="3">
        <f>'Beer Revenue'!BA81</f>
        <v>2746.7265196800004</v>
      </c>
      <c r="AV10" s="3">
        <f>'Beer Revenue'!BB81</f>
        <v>3248.8163136000003</v>
      </c>
      <c r="AW10" s="3">
        <f>'Beer Revenue'!BC81</f>
        <v>3662.30202624</v>
      </c>
      <c r="AX10" s="3">
        <f>'Beer Revenue'!BD81</f>
        <v>3248.8163136000003</v>
      </c>
      <c r="AY10" s="3">
        <f>'Beer Revenue'!BE81</f>
        <v>3051.9183552</v>
      </c>
      <c r="AZ10" s="3">
        <f>'Beer Revenue'!BF81</f>
        <v>3814.8979440000012</v>
      </c>
      <c r="BA10" s="3">
        <f>'Beer Revenue'!BG81</f>
        <v>3691.8367200000002</v>
      </c>
      <c r="BB10" s="3">
        <f>'Beer Revenue'!BH81</f>
        <v>3662.30202624</v>
      </c>
      <c r="BC10" s="3">
        <f>'Beer Revenue'!BI81</f>
        <v>2658.1224384000002</v>
      </c>
      <c r="BD10" s="3">
        <f>'Beer Revenue'!BJ81</f>
        <v>2441.5346841600003</v>
      </c>
      <c r="BE10" s="37">
        <f t="shared" si="10"/>
        <v>36005.252917919992</v>
      </c>
      <c r="BF10" s="3">
        <f>'Beer Revenue'!BL81</f>
        <v>1999.6169063270406</v>
      </c>
      <c r="BG10" s="3">
        <f>'Beer Revenue'!BM81</f>
        <v>2125.9367915385601</v>
      </c>
      <c r="BH10" s="3">
        <f>'Beer Revenue'!BN81</f>
        <v>2999.4253594905608</v>
      </c>
      <c r="BI10" s="3">
        <f>'Beer Revenue'!BO81</f>
        <v>3547.7074144512007</v>
      </c>
      <c r="BJ10" s="3">
        <f>'Beer Revenue'!BP81</f>
        <v>3999.2338126540812</v>
      </c>
      <c r="BK10" s="3">
        <f>'Beer Revenue'!BQ81</f>
        <v>3547.7074144512007</v>
      </c>
      <c r="BL10" s="3">
        <f>'Beer Revenue'!BR81</f>
        <v>3332.6948438784007</v>
      </c>
      <c r="BM10" s="3">
        <f>'Beer Revenue'!BS81</f>
        <v>4165.8685548480016</v>
      </c>
      <c r="BN10" s="3">
        <f>'Beer Revenue'!BT81</f>
        <v>4031.4856982399997</v>
      </c>
      <c r="BO10" s="3">
        <f>'Beer Revenue'!BU81</f>
        <v>3999.2338126540812</v>
      </c>
      <c r="BP10" s="3">
        <f>'Beer Revenue'!BV81</f>
        <v>2902.6697027328</v>
      </c>
      <c r="BQ10" s="3">
        <f>'Beer Revenue'!BW81</f>
        <v>2666.1558751027205</v>
      </c>
      <c r="BR10" s="37">
        <f t="shared" si="11"/>
        <v>39317.736186368646</v>
      </c>
      <c r="BS10" s="37"/>
    </row>
    <row r="11" spans="1:71" ht="14.5">
      <c r="A11" s="2"/>
      <c r="B11" s="2"/>
      <c r="C11" s="21" t="s">
        <v>544</v>
      </c>
      <c r="D11" s="2"/>
      <c r="E11" s="2"/>
      <c r="F11" s="3">
        <f>'Beer Revenue'!L9</f>
        <v>7254</v>
      </c>
      <c r="G11" s="3">
        <f>'Beer Revenue'!M9</f>
        <v>7712.2499999999991</v>
      </c>
      <c r="H11" s="3">
        <f>'Beer Revenue'!N9</f>
        <v>10881</v>
      </c>
      <c r="I11" s="3">
        <f>'Beer Revenue'!O9</f>
        <v>12870.000000000002</v>
      </c>
      <c r="J11" s="3">
        <f>'Beer Revenue'!P9</f>
        <v>14508</v>
      </c>
      <c r="K11" s="3">
        <f>'Beer Revenue'!Q9</f>
        <v>12870.000000000002</v>
      </c>
      <c r="L11" s="3">
        <f>'Beer Revenue'!R9</f>
        <v>12090</v>
      </c>
      <c r="M11" s="3">
        <f>'Beer Revenue'!S9</f>
        <v>15112.5</v>
      </c>
      <c r="N11" s="3">
        <f>'Beer Revenue'!T9</f>
        <v>14625</v>
      </c>
      <c r="O11" s="3">
        <f>'Beer Revenue'!U9</f>
        <v>14508</v>
      </c>
      <c r="P11" s="3">
        <f>'Beer Revenue'!V9</f>
        <v>10530</v>
      </c>
      <c r="Q11" s="3">
        <f>'Beer Revenue'!W9</f>
        <v>9672</v>
      </c>
      <c r="R11" s="37">
        <f t="shared" si="4"/>
        <v>142632.75</v>
      </c>
      <c r="S11" s="3">
        <f>'Beer Revenue'!Y9</f>
        <v>8342.0999999999985</v>
      </c>
      <c r="T11" s="3">
        <f>'Beer Revenue'!Z9</f>
        <v>8869.0874999999978</v>
      </c>
      <c r="U11" s="3">
        <f>'Beer Revenue'!AA9</f>
        <v>12513.15</v>
      </c>
      <c r="V11" s="3">
        <f>'Beer Revenue'!AB9</f>
        <v>14800.500000000002</v>
      </c>
      <c r="W11" s="3">
        <f>'Beer Revenue'!AC9</f>
        <v>16684.199999999997</v>
      </c>
      <c r="X11" s="3">
        <f>'Beer Revenue'!AD9</f>
        <v>14800.500000000002</v>
      </c>
      <c r="Y11" s="3">
        <f>'Beer Revenue'!AE9</f>
        <v>13903.499999999998</v>
      </c>
      <c r="Z11" s="3">
        <f>'Beer Revenue'!AF9</f>
        <v>17379.375</v>
      </c>
      <c r="AA11" s="3">
        <f>'Beer Revenue'!AG9</f>
        <v>16818.75</v>
      </c>
      <c r="AB11" s="3">
        <f>'Beer Revenue'!AH9</f>
        <v>16684.199999999997</v>
      </c>
      <c r="AC11" s="3">
        <f>'Beer Revenue'!AI9</f>
        <v>12109.499999999998</v>
      </c>
      <c r="AD11" s="3">
        <f>'Beer Revenue'!AJ9</f>
        <v>11122.8</v>
      </c>
      <c r="AE11" s="37">
        <f t="shared" si="5"/>
        <v>164027.66249999998</v>
      </c>
      <c r="AF11" s="3">
        <f>'Beer Revenue'!AL9</f>
        <v>9543.3624</v>
      </c>
      <c r="AG11" s="3">
        <f>'Beer Revenue'!AM9</f>
        <v>10146.236099999998</v>
      </c>
      <c r="AH11" s="3">
        <f>'Beer Revenue'!AN9</f>
        <v>14315.043600000001</v>
      </c>
      <c r="AI11" s="3">
        <f>'Beer Revenue'!AO9</f>
        <v>16931.772000000004</v>
      </c>
      <c r="AJ11" s="3">
        <f>'Beer Revenue'!AP9</f>
        <v>19086.7248</v>
      </c>
      <c r="AK11" s="3">
        <f>'Beer Revenue'!AQ9</f>
        <v>16931.772000000004</v>
      </c>
      <c r="AL11" s="3">
        <f>'Beer Revenue'!AR9</f>
        <v>15905.603999999999</v>
      </c>
      <c r="AM11" s="3">
        <f>'Beer Revenue'!AS9</f>
        <v>19882.005000000001</v>
      </c>
      <c r="AN11" s="3">
        <f>'Beer Revenue'!AT9</f>
        <v>19240.650000000001</v>
      </c>
      <c r="AO11" s="3">
        <f>'Beer Revenue'!AU9</f>
        <v>19086.7248</v>
      </c>
      <c r="AP11" s="3">
        <f>'Beer Revenue'!AV9</f>
        <v>13853.268</v>
      </c>
      <c r="AQ11" s="3">
        <f>'Beer Revenue'!AW9</f>
        <v>12724.483200000001</v>
      </c>
      <c r="AR11" s="37">
        <f t="shared" si="9"/>
        <v>187647.6459</v>
      </c>
      <c r="AS11" s="3">
        <f>'Beer Revenue'!AY9</f>
        <v>10020.53052</v>
      </c>
      <c r="AT11" s="3">
        <f>'Beer Revenue'!AZ9</f>
        <v>10653.547904999999</v>
      </c>
      <c r="AU11" s="3">
        <f>'Beer Revenue'!BA9</f>
        <v>15030.795780000002</v>
      </c>
      <c r="AV11" s="3">
        <f>'Beer Revenue'!BB9</f>
        <v>17778.360600000007</v>
      </c>
      <c r="AW11" s="3">
        <f>'Beer Revenue'!BC9</f>
        <v>20041.061040000001</v>
      </c>
      <c r="AX11" s="3">
        <f>'Beer Revenue'!BD9</f>
        <v>17778.360600000007</v>
      </c>
      <c r="AY11" s="3">
        <f>'Beer Revenue'!BE9</f>
        <v>16700.8842</v>
      </c>
      <c r="AZ11" s="3">
        <f>'Beer Revenue'!BF9</f>
        <v>20876.105250000001</v>
      </c>
      <c r="BA11" s="3">
        <f>'Beer Revenue'!BG9</f>
        <v>20202.682500000003</v>
      </c>
      <c r="BB11" s="3">
        <f>'Beer Revenue'!BH9</f>
        <v>20041.061040000001</v>
      </c>
      <c r="BC11" s="3">
        <f>'Beer Revenue'!BI9</f>
        <v>14545.931400000001</v>
      </c>
      <c r="BD11" s="3">
        <f>'Beer Revenue'!BJ9</f>
        <v>13360.70736</v>
      </c>
      <c r="BE11" s="37">
        <f t="shared" si="10"/>
        <v>197030.02819500002</v>
      </c>
      <c r="BF11" s="3">
        <f>'Beer Revenue'!BL9</f>
        <v>10942.41932784</v>
      </c>
      <c r="BG11" s="3">
        <f>'Beer Revenue'!BM9</f>
        <v>11633.67431226</v>
      </c>
      <c r="BH11" s="3">
        <f>'Beer Revenue'!BN9</f>
        <v>16413.628991760004</v>
      </c>
      <c r="BI11" s="3">
        <f>'Beer Revenue'!BO9</f>
        <v>19413.96977520001</v>
      </c>
      <c r="BJ11" s="3">
        <f>'Beer Revenue'!BP9</f>
        <v>21884.83865568</v>
      </c>
      <c r="BK11" s="3">
        <f>'Beer Revenue'!BQ9</f>
        <v>19413.96977520001</v>
      </c>
      <c r="BL11" s="3">
        <f>'Beer Revenue'!BR9</f>
        <v>18237.3655464</v>
      </c>
      <c r="BM11" s="3">
        <f>'Beer Revenue'!BS9</f>
        <v>22796.706933000005</v>
      </c>
      <c r="BN11" s="3">
        <f>'Beer Revenue'!BT9</f>
        <v>22061.329290000005</v>
      </c>
      <c r="BO11" s="3">
        <f>'Beer Revenue'!BU9</f>
        <v>21884.83865568</v>
      </c>
      <c r="BP11" s="3">
        <f>'Beer Revenue'!BV9</f>
        <v>15884.157088800002</v>
      </c>
      <c r="BQ11" s="3">
        <f>'Beer Revenue'!BW9</f>
        <v>14589.892437120001</v>
      </c>
      <c r="BR11" s="37">
        <f t="shared" si="11"/>
        <v>215156.79078894004</v>
      </c>
      <c r="BS11" s="37"/>
    </row>
    <row r="12" spans="1:71" ht="14.5">
      <c r="A12" s="2"/>
      <c r="B12" s="2"/>
      <c r="C12" s="21" t="s">
        <v>550</v>
      </c>
      <c r="D12" s="2"/>
      <c r="E12" s="2"/>
      <c r="F12" s="3">
        <f>'Beer Revenue'!L10</f>
        <v>3819.1114285714284</v>
      </c>
      <c r="G12" s="3">
        <f>'Beer Revenue'!M10</f>
        <v>4060.3724999999995</v>
      </c>
      <c r="H12" s="3">
        <f>'Beer Revenue'!N10</f>
        <v>5728.6671428571435</v>
      </c>
      <c r="I12" s="3">
        <f>'Beer Revenue'!O10</f>
        <v>6775.8428571428567</v>
      </c>
      <c r="J12" s="3">
        <f>'Beer Revenue'!P10</f>
        <v>7638.2228571428568</v>
      </c>
      <c r="K12" s="3">
        <f>'Beer Revenue'!Q10</f>
        <v>6775.8428571428567</v>
      </c>
      <c r="L12" s="3">
        <f>'Beer Revenue'!R10</f>
        <v>6365.1857142857143</v>
      </c>
      <c r="M12" s="3">
        <f>'Beer Revenue'!S10</f>
        <v>7956.4821428571431</v>
      </c>
      <c r="N12" s="3">
        <f>'Beer Revenue'!T10</f>
        <v>7699.8214285714275</v>
      </c>
      <c r="O12" s="3">
        <f>'Beer Revenue'!U10</f>
        <v>7638.2228571428568</v>
      </c>
      <c r="P12" s="3">
        <f>'Beer Revenue'!V10</f>
        <v>5543.8714285714286</v>
      </c>
      <c r="Q12" s="3">
        <f>'Beer Revenue'!W10</f>
        <v>5092.1485714285718</v>
      </c>
      <c r="R12" s="37">
        <f t="shared" si="4"/>
        <v>75093.791785714275</v>
      </c>
      <c r="S12" s="3">
        <f>'Beer Revenue'!Y10</f>
        <v>4391.9781428571423</v>
      </c>
      <c r="T12" s="3">
        <f>'Beer Revenue'!Z10</f>
        <v>4669.4283749999995</v>
      </c>
      <c r="U12" s="3">
        <f>'Beer Revenue'!AA10</f>
        <v>6587.9672142857144</v>
      </c>
      <c r="V12" s="3">
        <f>'Beer Revenue'!AB10</f>
        <v>7792.2192857142845</v>
      </c>
      <c r="W12" s="3">
        <f>'Beer Revenue'!AC10</f>
        <v>8783.9562857142846</v>
      </c>
      <c r="X12" s="3">
        <f>'Beer Revenue'!AD10</f>
        <v>7792.2192857142845</v>
      </c>
      <c r="Y12" s="3">
        <f>'Beer Revenue'!AE10</f>
        <v>7319.9635714285705</v>
      </c>
      <c r="Z12" s="3">
        <f>'Beer Revenue'!AF10</f>
        <v>9149.9544642857145</v>
      </c>
      <c r="AA12" s="3">
        <f>'Beer Revenue'!AG10</f>
        <v>8854.7946428571413</v>
      </c>
      <c r="AB12" s="3">
        <f>'Beer Revenue'!AH10</f>
        <v>8783.9562857142846</v>
      </c>
      <c r="AC12" s="3">
        <f>'Beer Revenue'!AI10</f>
        <v>6375.4521428571425</v>
      </c>
      <c r="AD12" s="3">
        <f>'Beer Revenue'!AJ10</f>
        <v>5855.9708571428573</v>
      </c>
      <c r="AE12" s="37">
        <f t="shared" si="5"/>
        <v>86357.860553571431</v>
      </c>
      <c r="AF12" s="3">
        <f>'Beer Revenue'!AL10</f>
        <v>5024.4229954285711</v>
      </c>
      <c r="AG12" s="3">
        <f>'Beer Revenue'!AM10</f>
        <v>5341.8260610000007</v>
      </c>
      <c r="AH12" s="3">
        <f>'Beer Revenue'!AN10</f>
        <v>7536.6344931428575</v>
      </c>
      <c r="AI12" s="3">
        <f>'Beer Revenue'!AO10</f>
        <v>8914.2988628571438</v>
      </c>
      <c r="AJ12" s="3">
        <f>'Beer Revenue'!AP10</f>
        <v>10048.845990857142</v>
      </c>
      <c r="AK12" s="3">
        <f>'Beer Revenue'!AQ10</f>
        <v>8914.2988628571438</v>
      </c>
      <c r="AL12" s="3">
        <f>'Beer Revenue'!AR10</f>
        <v>8374.0383257142857</v>
      </c>
      <c r="AM12" s="3">
        <f>'Beer Revenue'!AS10</f>
        <v>10467.54790714286</v>
      </c>
      <c r="AN12" s="3">
        <f>'Beer Revenue'!AT10</f>
        <v>10129.885071428571</v>
      </c>
      <c r="AO12" s="3">
        <f>'Beer Revenue'!AU10</f>
        <v>10048.845990857142</v>
      </c>
      <c r="AP12" s="3">
        <f>'Beer Revenue'!AV10</f>
        <v>7293.5172514285714</v>
      </c>
      <c r="AQ12" s="3">
        <f>'Beer Revenue'!AW10</f>
        <v>6699.2306605714302</v>
      </c>
      <c r="AR12" s="37">
        <f t="shared" si="9"/>
        <v>98793.392473285698</v>
      </c>
      <c r="AS12" s="3">
        <f>'Beer Revenue'!AY10</f>
        <v>5275.6441451999999</v>
      </c>
      <c r="AT12" s="3">
        <f>'Beer Revenue'!AZ10</f>
        <v>5608.9173640500012</v>
      </c>
      <c r="AU12" s="3">
        <f>'Beer Revenue'!BA10</f>
        <v>7913.4662178000008</v>
      </c>
      <c r="AV12" s="3">
        <f>'Beer Revenue'!BB10</f>
        <v>9360.0138060000008</v>
      </c>
      <c r="AW12" s="3">
        <f>'Beer Revenue'!BC10</f>
        <v>10551.2882904</v>
      </c>
      <c r="AX12" s="3">
        <f>'Beer Revenue'!BD10</f>
        <v>9360.0138060000008</v>
      </c>
      <c r="AY12" s="3">
        <f>'Beer Revenue'!BE10</f>
        <v>8792.7402419999999</v>
      </c>
      <c r="AZ12" s="3">
        <f>'Beer Revenue'!BF10</f>
        <v>10990.925302500003</v>
      </c>
      <c r="BA12" s="3">
        <f>'Beer Revenue'!BG10</f>
        <v>10636.379325</v>
      </c>
      <c r="BB12" s="3">
        <f>'Beer Revenue'!BH10</f>
        <v>10551.2882904</v>
      </c>
      <c r="BC12" s="3">
        <f>'Beer Revenue'!BI10</f>
        <v>7658.1931140000006</v>
      </c>
      <c r="BD12" s="3">
        <f>'Beer Revenue'!BJ10</f>
        <v>7034.1921936000017</v>
      </c>
      <c r="BE12" s="37">
        <f t="shared" si="10"/>
        <v>103733.06209695</v>
      </c>
      <c r="BF12" s="3">
        <f>'Beer Revenue'!BL10</f>
        <v>5761.0034065584005</v>
      </c>
      <c r="BG12" s="3">
        <f>'Beer Revenue'!BM10</f>
        <v>6124.9377615426019</v>
      </c>
      <c r="BH12" s="3">
        <f>'Beer Revenue'!BN10</f>
        <v>8641.5051098376007</v>
      </c>
      <c r="BI12" s="3">
        <f>'Beer Revenue'!BO10</f>
        <v>10221.135076152003</v>
      </c>
      <c r="BJ12" s="3">
        <f>'Beer Revenue'!BP10</f>
        <v>11522.006813116801</v>
      </c>
      <c r="BK12" s="3">
        <f>'Beer Revenue'!BQ10</f>
        <v>10221.135076152003</v>
      </c>
      <c r="BL12" s="3">
        <f>'Beer Revenue'!BR10</f>
        <v>9601.6723442639995</v>
      </c>
      <c r="BM12" s="3">
        <f>'Beer Revenue'!BS10</f>
        <v>12002.090430330005</v>
      </c>
      <c r="BN12" s="3">
        <f>'Beer Revenue'!BT10</f>
        <v>11614.926222900001</v>
      </c>
      <c r="BO12" s="3">
        <f>'Beer Revenue'!BU10</f>
        <v>11522.006813116801</v>
      </c>
      <c r="BP12" s="3">
        <f>'Beer Revenue'!BV10</f>
        <v>8362.7468804880009</v>
      </c>
      <c r="BQ12" s="3">
        <f>'Beer Revenue'!BW10</f>
        <v>7681.3378754112027</v>
      </c>
      <c r="BR12" s="37">
        <f t="shared" si="11"/>
        <v>113276.50380986941</v>
      </c>
      <c r="BS12" s="37"/>
    </row>
    <row r="13" spans="1:71" ht="14.5">
      <c r="A13" s="2"/>
      <c r="B13" s="332">
        <v>0.01</v>
      </c>
      <c r="C13" s="2" t="s">
        <v>37</v>
      </c>
      <c r="D13" s="2"/>
      <c r="E13" s="2"/>
      <c r="F13" s="3">
        <f>SUM(F9:F12)*$B$13</f>
        <v>334.29168857142855</v>
      </c>
      <c r="G13" s="3">
        <f t="shared" ref="G13:Q13" si="13">SUM(G9:G12)*$B$13</f>
        <v>355.40957749999995</v>
      </c>
      <c r="H13" s="3">
        <f t="shared" si="13"/>
        <v>501.43753285714286</v>
      </c>
      <c r="I13" s="3">
        <f t="shared" si="13"/>
        <v>593.09815714285719</v>
      </c>
      <c r="J13" s="3">
        <f t="shared" si="13"/>
        <v>668.5833771428571</v>
      </c>
      <c r="K13" s="3">
        <f t="shared" si="13"/>
        <v>593.09815714285719</v>
      </c>
      <c r="L13" s="3">
        <f t="shared" si="13"/>
        <v>557.15281428571416</v>
      </c>
      <c r="M13" s="3">
        <f t="shared" si="13"/>
        <v>696.4410178571427</v>
      </c>
      <c r="N13" s="3">
        <f t="shared" si="13"/>
        <v>673.97517857142839</v>
      </c>
      <c r="O13" s="3">
        <f t="shared" si="13"/>
        <v>668.5833771428571</v>
      </c>
      <c r="P13" s="3">
        <f t="shared" si="13"/>
        <v>485.26212857142872</v>
      </c>
      <c r="Q13" s="3">
        <f t="shared" si="13"/>
        <v>445.72225142857155</v>
      </c>
      <c r="R13" s="37">
        <f t="shared" si="4"/>
        <v>6573.0552582142845</v>
      </c>
      <c r="S13" s="3">
        <f t="shared" ref="S13:AD13" si="14">SUM(S9:S12)*$B$13</f>
        <v>384.43544185714291</v>
      </c>
      <c r="T13" s="3">
        <f t="shared" si="14"/>
        <v>408.72101412499995</v>
      </c>
      <c r="U13" s="3">
        <f t="shared" si="14"/>
        <v>576.65316278571436</v>
      </c>
      <c r="V13" s="3">
        <f t="shared" si="14"/>
        <v>682.06288071428571</v>
      </c>
      <c r="W13" s="3">
        <f t="shared" si="14"/>
        <v>768.87088371428581</v>
      </c>
      <c r="X13" s="3">
        <f t="shared" si="14"/>
        <v>682.06288071428571</v>
      </c>
      <c r="Y13" s="3">
        <f t="shared" si="14"/>
        <v>640.72573642857139</v>
      </c>
      <c r="Z13" s="3">
        <f t="shared" si="14"/>
        <v>800.90717053571427</v>
      </c>
      <c r="AA13" s="3">
        <f t="shared" si="14"/>
        <v>775.0714553571429</v>
      </c>
      <c r="AB13" s="3">
        <f t="shared" si="14"/>
        <v>768.87088371428581</v>
      </c>
      <c r="AC13" s="3">
        <f t="shared" si="14"/>
        <v>558.05144785714299</v>
      </c>
      <c r="AD13" s="3">
        <f t="shared" si="14"/>
        <v>512.58058914285709</v>
      </c>
      <c r="AE13" s="37">
        <f t="shared" si="5"/>
        <v>7559.0135469464303</v>
      </c>
      <c r="AF13" s="3">
        <f t="shared" ref="AF13:AQ13" si="15">SUM(AF9:AF12)*$B$13</f>
        <v>439.7941454845714</v>
      </c>
      <c r="AG13" s="3">
        <f t="shared" si="15"/>
        <v>467.57684015899997</v>
      </c>
      <c r="AH13" s="3">
        <f t="shared" si="15"/>
        <v>659.69121822685736</v>
      </c>
      <c r="AI13" s="3">
        <f t="shared" si="15"/>
        <v>780.27993553714305</v>
      </c>
      <c r="AJ13" s="3">
        <f t="shared" si="15"/>
        <v>879.5882909691428</v>
      </c>
      <c r="AK13" s="3">
        <f t="shared" si="15"/>
        <v>780.27993553714305</v>
      </c>
      <c r="AL13" s="3">
        <f t="shared" si="15"/>
        <v>732.99024247428576</v>
      </c>
      <c r="AM13" s="3">
        <f t="shared" si="15"/>
        <v>916.23780309285723</v>
      </c>
      <c r="AN13" s="3">
        <f t="shared" si="15"/>
        <v>886.68174492857133</v>
      </c>
      <c r="AO13" s="3">
        <f t="shared" si="15"/>
        <v>879.5882909691428</v>
      </c>
      <c r="AP13" s="3">
        <f t="shared" si="15"/>
        <v>638.41085634857131</v>
      </c>
      <c r="AQ13" s="3">
        <f t="shared" si="15"/>
        <v>586.39219397942873</v>
      </c>
      <c r="AR13" s="37">
        <f t="shared" si="9"/>
        <v>8647.5114977067151</v>
      </c>
      <c r="AS13" s="3">
        <f t="shared" ref="AS13:BD13" si="16">SUM(AS9:AS12)*$B$13</f>
        <v>461.78385275880009</v>
      </c>
      <c r="AT13" s="3">
        <f t="shared" si="16"/>
        <v>490.95568216695006</v>
      </c>
      <c r="AU13" s="3">
        <f t="shared" si="16"/>
        <v>692.67577913820003</v>
      </c>
      <c r="AV13" s="3">
        <f t="shared" si="16"/>
        <v>819.29393231400013</v>
      </c>
      <c r="AW13" s="3">
        <f t="shared" si="16"/>
        <v>923.56770551760019</v>
      </c>
      <c r="AX13" s="3">
        <f t="shared" si="16"/>
        <v>819.29393231400013</v>
      </c>
      <c r="AY13" s="3">
        <f t="shared" si="16"/>
        <v>769.6397545980002</v>
      </c>
      <c r="AZ13" s="3">
        <f t="shared" si="16"/>
        <v>962.04969324750027</v>
      </c>
      <c r="BA13" s="3">
        <f t="shared" si="16"/>
        <v>931.01583217500013</v>
      </c>
      <c r="BB13" s="3">
        <f t="shared" si="16"/>
        <v>923.56770551760019</v>
      </c>
      <c r="BC13" s="3">
        <f t="shared" si="16"/>
        <v>670.33139916600021</v>
      </c>
      <c r="BD13" s="3">
        <f t="shared" si="16"/>
        <v>615.71180367840009</v>
      </c>
      <c r="BE13" s="37">
        <f t="shared" si="10"/>
        <v>9079.8870725920497</v>
      </c>
      <c r="BF13" s="3">
        <f t="shared" ref="BF13:BQ13" si="17">SUM(BF9:BF12)*$B$13</f>
        <v>504.26796721260968</v>
      </c>
      <c r="BG13" s="3">
        <f t="shared" si="17"/>
        <v>536.12360492630955</v>
      </c>
      <c r="BH13" s="3">
        <f t="shared" si="17"/>
        <v>756.40195081891454</v>
      </c>
      <c r="BI13" s="3">
        <f t="shared" si="17"/>
        <v>894.6689740868884</v>
      </c>
      <c r="BJ13" s="3">
        <f t="shared" si="17"/>
        <v>1008.5359344252194</v>
      </c>
      <c r="BK13" s="3">
        <f t="shared" si="17"/>
        <v>894.6689740868884</v>
      </c>
      <c r="BL13" s="3">
        <f t="shared" si="17"/>
        <v>840.44661202101622</v>
      </c>
      <c r="BM13" s="3">
        <f t="shared" si="17"/>
        <v>1050.5582650262702</v>
      </c>
      <c r="BN13" s="3">
        <f t="shared" si="17"/>
        <v>1016.6692887351002</v>
      </c>
      <c r="BO13" s="3">
        <f t="shared" si="17"/>
        <v>1008.5359344252194</v>
      </c>
      <c r="BP13" s="3">
        <f t="shared" si="17"/>
        <v>732.00188788927221</v>
      </c>
      <c r="BQ13" s="3">
        <f t="shared" si="17"/>
        <v>672.35728961681298</v>
      </c>
      <c r="BR13" s="37">
        <f t="shared" si="11"/>
        <v>9915.2366832705211</v>
      </c>
      <c r="BS13" s="37">
        <f t="shared" si="12"/>
        <v>41774.70405873</v>
      </c>
    </row>
    <row r="14" spans="1:71" ht="14.5">
      <c r="A14" s="2"/>
      <c r="B14" s="332">
        <v>0.05</v>
      </c>
      <c r="C14" s="2"/>
      <c r="D14" s="2" t="s">
        <v>625</v>
      </c>
      <c r="E14" s="2"/>
      <c r="F14" s="3">
        <f>SUM(F9:F13)*-$B$14</f>
        <v>-1688.1730272857142</v>
      </c>
      <c r="G14" s="3">
        <f t="shared" ref="G14:Q14" si="18">SUM(G9:G13)*-$B$14</f>
        <v>-1794.8183663749999</v>
      </c>
      <c r="H14" s="3">
        <f t="shared" si="18"/>
        <v>-2532.2595409285714</v>
      </c>
      <c r="I14" s="3">
        <f t="shared" si="18"/>
        <v>-2995.1456935714286</v>
      </c>
      <c r="J14" s="3">
        <f t="shared" si="18"/>
        <v>-3376.3460545714283</v>
      </c>
      <c r="K14" s="3">
        <f t="shared" si="18"/>
        <v>-2995.1456935714286</v>
      </c>
      <c r="L14" s="3">
        <f t="shared" si="18"/>
        <v>-2813.6217121428567</v>
      </c>
      <c r="M14" s="3">
        <f t="shared" si="18"/>
        <v>-3517.0271401785708</v>
      </c>
      <c r="N14" s="3">
        <f t="shared" si="18"/>
        <v>-3403.5746517857137</v>
      </c>
      <c r="O14" s="3">
        <f t="shared" si="18"/>
        <v>-3376.3460545714283</v>
      </c>
      <c r="P14" s="3">
        <f t="shared" si="18"/>
        <v>-2450.5737492857147</v>
      </c>
      <c r="Q14" s="3">
        <f t="shared" si="18"/>
        <v>-2250.8973697142865</v>
      </c>
      <c r="R14" s="37">
        <f>SUM(F14:Q14)</f>
        <v>-33193.929053982145</v>
      </c>
      <c r="S14" s="3">
        <f>SUM(S9:S13)*-$B$14</f>
        <v>-1941.3989813785718</v>
      </c>
      <c r="T14" s="3">
        <f t="shared" ref="T14" si="19">SUM(T9:T13)*-$B$14</f>
        <v>-2064.04112133125</v>
      </c>
      <c r="U14" s="3">
        <f t="shared" ref="U14" si="20">SUM(U9:U13)*-$B$14</f>
        <v>-2912.0984720678571</v>
      </c>
      <c r="V14" s="3">
        <f t="shared" ref="V14" si="21">SUM(V9:V13)*-$B$14</f>
        <v>-3444.4175476071428</v>
      </c>
      <c r="W14" s="3">
        <f t="shared" ref="W14" si="22">SUM(W9:W13)*-$B$14</f>
        <v>-3882.7979627571435</v>
      </c>
      <c r="X14" s="3">
        <f t="shared" ref="X14" si="23">SUM(X9:X13)*-$B$14</f>
        <v>-3444.4175476071428</v>
      </c>
      <c r="Y14" s="3">
        <f t="shared" ref="Y14" si="24">SUM(Y9:Y13)*-$B$14</f>
        <v>-3235.6649689642854</v>
      </c>
      <c r="Z14" s="3">
        <f t="shared" ref="Z14" si="25">SUM(Z9:Z13)*-$B$14</f>
        <v>-4044.5812112053572</v>
      </c>
      <c r="AA14" s="3">
        <f t="shared" ref="AA14" si="26">SUM(AA9:AA13)*-$B$14</f>
        <v>-3914.1108495535718</v>
      </c>
      <c r="AB14" s="3">
        <f t="shared" ref="AB14" si="27">SUM(AB9:AB13)*-$B$14</f>
        <v>-3882.7979627571435</v>
      </c>
      <c r="AC14" s="3">
        <f t="shared" ref="AC14" si="28">SUM(AC9:AC13)*-$B$14</f>
        <v>-2818.1598116785717</v>
      </c>
      <c r="AD14" s="3">
        <f t="shared" ref="AD14" si="29">SUM(AD9:AD13)*-$B$14</f>
        <v>-2588.5319751714287</v>
      </c>
      <c r="AE14" s="37">
        <f>SUM(S14:AD14)</f>
        <v>-38173.018412079466</v>
      </c>
      <c r="AF14" s="3">
        <f>SUM(AF9:AF13)*-$B$14</f>
        <v>-2220.9604346970859</v>
      </c>
      <c r="AG14" s="3">
        <f t="shared" ref="AG14" si="30">SUM(AG9:AG13)*-$B$14</f>
        <v>-2361.2630428029502</v>
      </c>
      <c r="AH14" s="3">
        <f t="shared" ref="AH14" si="31">SUM(AH9:AH13)*-$B$14</f>
        <v>-3331.4406520456296</v>
      </c>
      <c r="AI14" s="3">
        <f t="shared" ref="AI14" si="32">SUM(AI9:AI13)*-$B$14</f>
        <v>-3940.4136744625721</v>
      </c>
      <c r="AJ14" s="3">
        <f t="shared" ref="AJ14" si="33">SUM(AJ9:AJ13)*-$B$14</f>
        <v>-4441.9208693941719</v>
      </c>
      <c r="AK14" s="3">
        <f t="shared" ref="AK14" si="34">SUM(AK9:AK13)*-$B$14</f>
        <v>-3940.4136744625721</v>
      </c>
      <c r="AL14" s="3">
        <f t="shared" ref="AL14" si="35">SUM(AL9:AL13)*-$B$14</f>
        <v>-3701.6007244951434</v>
      </c>
      <c r="AM14" s="3">
        <f t="shared" ref="AM14" si="36">SUM(AM9:AM13)*-$B$14</f>
        <v>-4627.0009056189292</v>
      </c>
      <c r="AN14" s="3">
        <f t="shared" ref="AN14" si="37">SUM(AN9:AN13)*-$B$14</f>
        <v>-4477.7428118892849</v>
      </c>
      <c r="AO14" s="3">
        <f t="shared" ref="AO14" si="38">SUM(AO9:AO13)*-$B$14</f>
        <v>-4441.9208693941719</v>
      </c>
      <c r="AP14" s="3">
        <f t="shared" ref="AP14" si="39">SUM(AP9:AP13)*-$B$14</f>
        <v>-3223.9748245602855</v>
      </c>
      <c r="AQ14" s="3">
        <f t="shared" ref="AQ14" si="40">SUM(AQ9:AQ13)*-$B$14</f>
        <v>-2961.2805795961153</v>
      </c>
      <c r="AR14" s="37">
        <f>SUM(AF14:AQ14)</f>
        <v>-43669.93306341891</v>
      </c>
      <c r="AS14" s="3">
        <f>SUM(AS9:AS13)*-$B$14</f>
        <v>-2332.0084564319404</v>
      </c>
      <c r="AT14" s="3">
        <f t="shared" ref="AT14" si="41">SUM(AT9:AT13)*-$B$14</f>
        <v>-2479.326194943098</v>
      </c>
      <c r="AU14" s="3">
        <f t="shared" ref="AU14" si="42">SUM(AU9:AU13)*-$B$14</f>
        <v>-3498.0126846479102</v>
      </c>
      <c r="AV14" s="3">
        <f t="shared" ref="AV14" si="43">SUM(AV9:AV13)*-$B$14</f>
        <v>-4137.4343581857011</v>
      </c>
      <c r="AW14" s="3">
        <f t="shared" ref="AW14" si="44">SUM(AW9:AW13)*-$B$14</f>
        <v>-4664.0169128638809</v>
      </c>
      <c r="AX14" s="3">
        <f t="shared" ref="AX14" si="45">SUM(AX9:AX13)*-$B$14</f>
        <v>-4137.4343581857011</v>
      </c>
      <c r="AY14" s="3">
        <f t="shared" ref="AY14" si="46">SUM(AY9:AY13)*-$B$14</f>
        <v>-3886.6807607199007</v>
      </c>
      <c r="AZ14" s="3">
        <f t="shared" ref="AZ14" si="47">SUM(AZ9:AZ13)*-$B$14</f>
        <v>-4858.3509508998768</v>
      </c>
      <c r="BA14" s="3">
        <f t="shared" ref="BA14" si="48">SUM(BA9:BA13)*-$B$14</f>
        <v>-4701.6299524837514</v>
      </c>
      <c r="BB14" s="3">
        <f t="shared" ref="BB14" si="49">SUM(BB9:BB13)*-$B$14</f>
        <v>-4664.0169128638809</v>
      </c>
      <c r="BC14" s="3">
        <f t="shared" ref="BC14" si="50">SUM(BC9:BC13)*-$B$14</f>
        <v>-3385.1735657883009</v>
      </c>
      <c r="BD14" s="3">
        <f t="shared" ref="BD14" si="51">SUM(BD9:BD13)*-$B$14</f>
        <v>-3109.3446085759206</v>
      </c>
      <c r="BE14" s="37">
        <f>SUM(AS14:BD14)</f>
        <v>-45853.429716589868</v>
      </c>
      <c r="BF14" s="3">
        <f>SUM(BF9:BF13)*-$B$14</f>
        <v>-2546.553234423679</v>
      </c>
      <c r="BG14" s="3">
        <f t="shared" ref="BG14" si="52">SUM(BG9:BG13)*-$B$14</f>
        <v>-2707.4242048778633</v>
      </c>
      <c r="BH14" s="3">
        <f t="shared" ref="BH14" si="53">SUM(BH9:BH13)*-$B$14</f>
        <v>-3819.829851635518</v>
      </c>
      <c r="BI14" s="3">
        <f t="shared" ref="BI14" si="54">SUM(BI9:BI13)*-$B$14</f>
        <v>-4518.0783191387864</v>
      </c>
      <c r="BJ14" s="3">
        <f t="shared" ref="BJ14" si="55">SUM(BJ9:BJ13)*-$B$14</f>
        <v>-5093.106468847358</v>
      </c>
      <c r="BK14" s="3">
        <f t="shared" ref="BK14" si="56">SUM(BK9:BK13)*-$B$14</f>
        <v>-4518.0783191387864</v>
      </c>
      <c r="BL14" s="3">
        <f t="shared" ref="BL14" si="57">SUM(BL9:BL13)*-$B$14</f>
        <v>-4244.2553907061319</v>
      </c>
      <c r="BM14" s="3">
        <f t="shared" ref="BM14" si="58">SUM(BM9:BM13)*-$B$14</f>
        <v>-5305.3192383826645</v>
      </c>
      <c r="BN14" s="3">
        <f t="shared" ref="BN14" si="59">SUM(BN9:BN13)*-$B$14</f>
        <v>-5134.1799081122554</v>
      </c>
      <c r="BO14" s="3">
        <f t="shared" ref="BO14" si="60">SUM(BO9:BO13)*-$B$14</f>
        <v>-5093.106468847358</v>
      </c>
      <c r="BP14" s="3">
        <f t="shared" ref="BP14" si="61">SUM(BP9:BP13)*-$B$14</f>
        <v>-3696.609533840825</v>
      </c>
      <c r="BQ14" s="3">
        <f t="shared" ref="BQ14" si="62">SUM(BQ9:BQ13)*-$B$14</f>
        <v>-3395.4043125649059</v>
      </c>
      <c r="BR14" s="37">
        <f>SUM(BF14:BQ14)</f>
        <v>-50071.945250516132</v>
      </c>
      <c r="BS14" s="37"/>
    </row>
    <row r="15" spans="1:71" ht="14.5">
      <c r="A15" s="2"/>
      <c r="B15" s="2"/>
      <c r="C15" s="323" t="s">
        <v>559</v>
      </c>
      <c r="D15" s="2"/>
      <c r="E15" s="2"/>
      <c r="F15" s="3">
        <f>-('Beer Revenue'!L117+'Beer Revenue'!L125)*(Assumptions!$B$53+Assumptions!$B$54)</f>
        <v>-69.623180410714284</v>
      </c>
      <c r="G15" s="3">
        <f>-('Beer Revenue'!M117+'Beer Revenue'!M125)*(Assumptions!$B$53+Assumptions!$B$54)</f>
        <v>-74.021418958165313</v>
      </c>
      <c r="H15" s="3">
        <f>-('Beer Revenue'!N117+'Beer Revenue'!N125)*(Assumptions!$B$53+Assumptions!$B$54)</f>
        <v>-104.43477061607145</v>
      </c>
      <c r="I15" s="3">
        <f>-('Beer Revenue'!O117+'Beer Revenue'!O125)*(Assumptions!$B$53+Assumptions!$B$54)</f>
        <v>-123.52499750288021</v>
      </c>
      <c r="J15" s="3">
        <f>-('Beer Revenue'!P117+'Beer Revenue'!P125)*(Assumptions!$B$53+Assumptions!$B$54)</f>
        <v>-139.24636082142857</v>
      </c>
      <c r="K15" s="3">
        <f>-('Beer Revenue'!Q117+'Beer Revenue'!Q125)*(Assumptions!$B$53+Assumptions!$B$54)</f>
        <v>-123.52499750288021</v>
      </c>
      <c r="L15" s="3">
        <f>-('Beer Revenue'!R117+'Beer Revenue'!R125)*(Assumptions!$B$53+Assumptions!$B$54)</f>
        <v>-116.03863401785716</v>
      </c>
      <c r="M15" s="3">
        <f>-('Beer Revenue'!S117+'Beer Revenue'!S125)*(Assumptions!$B$53+Assumptions!$B$54)</f>
        <v>-145.04829252232139</v>
      </c>
      <c r="N15" s="3">
        <f>-('Beer Revenue'!T117+'Beer Revenue'!T125)*(Assumptions!$B$53+Assumptions!$B$54)</f>
        <v>-140.36931534418201</v>
      </c>
      <c r="O15" s="3">
        <f>-('Beer Revenue'!U117+'Beer Revenue'!U125)*(Assumptions!$B$53+Assumptions!$B$54)</f>
        <v>-139.24636082142857</v>
      </c>
      <c r="P15" s="3">
        <f>-('Beer Revenue'!V117+'Beer Revenue'!V125)*(Assumptions!$B$53+Assumptions!$B$54)</f>
        <v>-101.06590704781105</v>
      </c>
      <c r="Q15" s="3">
        <f>-('Beer Revenue'!W117+'Beer Revenue'!W125)*(Assumptions!$B$53+Assumptions!$B$54)</f>
        <v>-92.830907214285688</v>
      </c>
      <c r="R15" s="37">
        <f>SUM(F15:Q15)</f>
        <v>-1368.9751427800259</v>
      </c>
      <c r="S15" s="3">
        <f>-('Beer Revenue'!Y117+'Beer Revenue'!Y125)*(Assumptions!$B$53+Assumptions!$B$54)</f>
        <v>-75.542219213169631</v>
      </c>
      <c r="T15" s="3">
        <f>-('Beer Revenue'!Z117+'Beer Revenue'!Z125)*(Assumptions!$B$53+Assumptions!$B$54)</f>
        <v>-80.314375534431662</v>
      </c>
      <c r="U15" s="3">
        <f>-('Beer Revenue'!AA117+'Beer Revenue'!AA125)*(Assumptions!$B$53+Assumptions!$B$54)</f>
        <v>-113.31332881975445</v>
      </c>
      <c r="V15" s="3">
        <f>-('Beer Revenue'!AB117+'Beer Revenue'!AB125)*(Assumptions!$B$53+Assumptions!$B$54)</f>
        <v>-134.02651795884935</v>
      </c>
      <c r="W15" s="3">
        <f>-('Beer Revenue'!AC117+'Beer Revenue'!AC125)*(Assumptions!$B$53+Assumptions!$B$54)</f>
        <v>-151.08443842633926</v>
      </c>
      <c r="X15" s="3">
        <f>-('Beer Revenue'!AD117+'Beer Revenue'!AD125)*(Assumptions!$B$53+Assumptions!$B$54)</f>
        <v>-134.02651795884935</v>
      </c>
      <c r="Y15" s="3">
        <f>-('Beer Revenue'!AE117+'Beer Revenue'!AE125)*(Assumptions!$B$53+Assumptions!$B$54)</f>
        <v>-125.90369868861606</v>
      </c>
      <c r="Z15" s="3">
        <f>-('Beer Revenue'!AF117+'Beer Revenue'!AF125)*(Assumptions!$B$53+Assumptions!$B$54)</f>
        <v>-157.37962336077004</v>
      </c>
      <c r="AA15" s="3">
        <f>-('Beer Revenue'!AG117+'Beer Revenue'!AG125)*(Assumptions!$B$53+Assumptions!$B$54)</f>
        <v>-152.30286131687424</v>
      </c>
      <c r="AB15" s="3">
        <f>-('Beer Revenue'!AH117+'Beer Revenue'!AH125)*(Assumptions!$B$53+Assumptions!$B$54)</f>
        <v>-151.08443842633926</v>
      </c>
      <c r="AC15" s="3">
        <f>-('Beer Revenue'!AI117+'Beer Revenue'!AI125)*(Assumptions!$B$53+Assumptions!$B$54)</f>
        <v>-109.65806014814945</v>
      </c>
      <c r="AD15" s="3">
        <f>-('Beer Revenue'!AJ117+'Beer Revenue'!AJ125)*(Assumptions!$B$53+Assumptions!$B$54)</f>
        <v>-100.72295895089285</v>
      </c>
      <c r="AE15" s="37">
        <f>SUM(S15:AD15)</f>
        <v>-1485.3590388030354</v>
      </c>
      <c r="AF15" s="3">
        <f>-('Beer Revenue'!AL117+'Beer Revenue'!AL125)*(Assumptions!$B$53+Assumptions!$B$54)</f>
        <v>-83.096441134486568</v>
      </c>
      <c r="AG15" s="3">
        <f>-('Beer Revenue'!AM117+'Beer Revenue'!AM125)*(Assumptions!$B$53+Assumptions!$B$54)</f>
        <v>-88.345813087874859</v>
      </c>
      <c r="AH15" s="3">
        <f>-('Beer Revenue'!AN117+'Beer Revenue'!AN125)*(Assumptions!$B$53+Assumptions!$B$54)</f>
        <v>-124.64466170172992</v>
      </c>
      <c r="AI15" s="3">
        <f>-('Beer Revenue'!AO117+'Beer Revenue'!AO125)*(Assumptions!$B$53+Assumptions!$B$54)</f>
        <v>-147.42916975473432</v>
      </c>
      <c r="AJ15" s="3">
        <f>-('Beer Revenue'!AP117+'Beer Revenue'!AP125)*(Assumptions!$B$53+Assumptions!$B$54)</f>
        <v>-166.19288226897314</v>
      </c>
      <c r="AK15" s="3">
        <f>-('Beer Revenue'!AQ117+'Beer Revenue'!AQ125)*(Assumptions!$B$53+Assumptions!$B$54)</f>
        <v>-147.42916975473432</v>
      </c>
      <c r="AL15" s="3">
        <f>-('Beer Revenue'!AR117+'Beer Revenue'!AR125)*(Assumptions!$B$53+Assumptions!$B$54)</f>
        <v>-138.49406855747768</v>
      </c>
      <c r="AM15" s="3">
        <f>-('Beer Revenue'!AS117+'Beer Revenue'!AS125)*(Assumptions!$B$53+Assumptions!$B$54)</f>
        <v>-173.11758569684707</v>
      </c>
      <c r="AN15" s="3">
        <f>-('Beer Revenue'!AT117+'Beer Revenue'!AT125)*(Assumptions!$B$53+Assumptions!$B$54)</f>
        <v>-167.53314744856169</v>
      </c>
      <c r="AO15" s="3">
        <f>-('Beer Revenue'!AU117+'Beer Revenue'!AU125)*(Assumptions!$B$53+Assumptions!$B$54)</f>
        <v>-166.19288226897314</v>
      </c>
      <c r="AP15" s="3">
        <f>-('Beer Revenue'!AV117+'Beer Revenue'!AV125)*(Assumptions!$B$53+Assumptions!$B$54)</f>
        <v>-120.62386616296442</v>
      </c>
      <c r="AQ15" s="3">
        <f>-('Beer Revenue'!AW117+'Beer Revenue'!AW125)*(Assumptions!$B$53+Assumptions!$B$54)</f>
        <v>-110.7952548459821</v>
      </c>
      <c r="AR15" s="37">
        <f>SUM(AF15:AQ15)</f>
        <v>-1633.8949426833392</v>
      </c>
      <c r="AS15" s="3">
        <f>-('Beer Revenue'!AY117+'Beer Revenue'!AY125)*(Assumptions!$B$53+Assumptions!$B$54)</f>
        <v>-87.251263191210953</v>
      </c>
      <c r="AT15" s="3">
        <f>-('Beer Revenue'!AZ117+'Beer Revenue'!AZ125)*(Assumptions!$B$53+Assumptions!$B$54)</f>
        <v>-92.763103742268612</v>
      </c>
      <c r="AU15" s="3">
        <f>-('Beer Revenue'!BA117+'Beer Revenue'!BA125)*(Assumptions!$B$53+Assumptions!$B$54)</f>
        <v>-130.87689478681642</v>
      </c>
      <c r="AV15" s="3">
        <f>-('Beer Revenue'!BB117+'Beer Revenue'!BB125)*(Assumptions!$B$53+Assumptions!$B$54)</f>
        <v>-154.80062824247102</v>
      </c>
      <c r="AW15" s="3">
        <f>-('Beer Revenue'!BC117+'Beer Revenue'!BC125)*(Assumptions!$B$53+Assumptions!$B$54)</f>
        <v>-174.50252638242191</v>
      </c>
      <c r="AX15" s="3">
        <f>-('Beer Revenue'!BD117+'Beer Revenue'!BD125)*(Assumptions!$B$53+Assumptions!$B$54)</f>
        <v>-154.80062824247102</v>
      </c>
      <c r="AY15" s="3">
        <f>-('Beer Revenue'!BE117+'Beer Revenue'!BE125)*(Assumptions!$B$53+Assumptions!$B$54)</f>
        <v>-145.41877198535153</v>
      </c>
      <c r="AZ15" s="3">
        <f>-('Beer Revenue'!BF117+'Beer Revenue'!BF125)*(Assumptions!$B$53+Assumptions!$B$54)</f>
        <v>-181.77346498168944</v>
      </c>
      <c r="BA15" s="3">
        <f>-('Beer Revenue'!BG117+'Beer Revenue'!BG125)*(Assumptions!$B$53+Assumptions!$B$54)</f>
        <v>-175.90980482098979</v>
      </c>
      <c r="BB15" s="3">
        <f>-('Beer Revenue'!BH117+'Beer Revenue'!BH125)*(Assumptions!$B$53+Assumptions!$B$54)</f>
        <v>-174.50252638242191</v>
      </c>
      <c r="BC15" s="3">
        <f>-('Beer Revenue'!BI117+'Beer Revenue'!BI125)*(Assumptions!$B$53+Assumptions!$B$54)</f>
        <v>-126.65505947111268</v>
      </c>
      <c r="BD15" s="3">
        <f>-('Beer Revenue'!BJ117+'Beer Revenue'!BJ125)*(Assumptions!$B$53+Assumptions!$B$54)</f>
        <v>-116.33501758828125</v>
      </c>
      <c r="BE15" s="37">
        <f>SUM(AS15:BD15)</f>
        <v>-1715.5896898175065</v>
      </c>
      <c r="BF15" s="3">
        <f>-('Beer Revenue'!BL117+'Beer Revenue'!BL125)*(Assumptions!$B$53+Assumptions!$B$54)</f>
        <v>-91.613826350771504</v>
      </c>
      <c r="BG15" s="3">
        <f>-('Beer Revenue'!BM117+'Beer Revenue'!BM125)*(Assumptions!$B$53+Assumptions!$B$54)</f>
        <v>-97.401258929382053</v>
      </c>
      <c r="BH15" s="3">
        <f>-('Beer Revenue'!BN117+'Beer Revenue'!BN125)*(Assumptions!$B$53+Assumptions!$B$54)</f>
        <v>-137.42073952615729</v>
      </c>
      <c r="BI15" s="3">
        <f>-('Beer Revenue'!BO117+'Beer Revenue'!BO125)*(Assumptions!$B$53+Assumptions!$B$54)</f>
        <v>-162.54065965459461</v>
      </c>
      <c r="BJ15" s="3">
        <f>-('Beer Revenue'!BP117+'Beer Revenue'!BP125)*(Assumptions!$B$53+Assumptions!$B$54)</f>
        <v>-183.22765270154301</v>
      </c>
      <c r="BK15" s="3">
        <f>-('Beer Revenue'!BQ117+'Beer Revenue'!BQ125)*(Assumptions!$B$53+Assumptions!$B$54)</f>
        <v>-162.54065965459461</v>
      </c>
      <c r="BL15" s="3">
        <f>-('Beer Revenue'!BR117+'Beer Revenue'!BR125)*(Assumptions!$B$53+Assumptions!$B$54)</f>
        <v>-152.68971058461918</v>
      </c>
      <c r="BM15" s="3">
        <f>-('Beer Revenue'!BS117+'Beer Revenue'!BS125)*(Assumptions!$B$53+Assumptions!$B$54)</f>
        <v>-190.86213823077392</v>
      </c>
      <c r="BN15" s="3">
        <f>-('Beer Revenue'!BT117+'Beer Revenue'!BT125)*(Assumptions!$B$53+Assumptions!$B$54)</f>
        <v>-184.7052950620392</v>
      </c>
      <c r="BO15" s="3">
        <f>-('Beer Revenue'!BU117+'Beer Revenue'!BU125)*(Assumptions!$B$53+Assumptions!$B$54)</f>
        <v>-183.22765270154301</v>
      </c>
      <c r="BP15" s="3">
        <f>-('Beer Revenue'!BV117+'Beer Revenue'!BV125)*(Assumptions!$B$53+Assumptions!$B$54)</f>
        <v>-132.98781244466832</v>
      </c>
      <c r="BQ15" s="3">
        <f>-('Beer Revenue'!BW117+'Beer Revenue'!BW125)*(Assumptions!$B$53+Assumptions!$B$54)</f>
        <v>-122.15176846769535</v>
      </c>
      <c r="BR15" s="37">
        <f>SUM(BF15:BQ15)</f>
        <v>-1801.3691743083821</v>
      </c>
      <c r="BS15" s="37"/>
    </row>
    <row r="16" spans="1:71" ht="14.5">
      <c r="A16" s="1"/>
      <c r="B16" s="1"/>
      <c r="C16" s="1"/>
      <c r="D16" s="324" t="s">
        <v>560</v>
      </c>
      <c r="E16" s="1"/>
      <c r="F16" s="41">
        <f t="shared" ref="F16:P16" si="63">SUM(F7:F15)</f>
        <v>34679.335430651779</v>
      </c>
      <c r="G16" s="41">
        <f t="shared" si="63"/>
        <v>37075.01925489994</v>
      </c>
      <c r="H16" s="41">
        <f t="shared" si="63"/>
        <v>52019.00314597768</v>
      </c>
      <c r="I16" s="41">
        <f t="shared" si="63"/>
        <v>61644.949957608005</v>
      </c>
      <c r="J16" s="41">
        <f t="shared" si="63"/>
        <v>69358.670861303559</v>
      </c>
      <c r="K16" s="41">
        <f t="shared" si="63"/>
        <v>61644.949957608005</v>
      </c>
      <c r="L16" s="41">
        <f t="shared" si="63"/>
        <v>57798.892384419632</v>
      </c>
      <c r="M16" s="41">
        <f t="shared" si="63"/>
        <v>72248.615480524546</v>
      </c>
      <c r="N16" s="41">
        <f t="shared" si="63"/>
        <v>70051.079497281811</v>
      </c>
      <c r="O16" s="41">
        <f t="shared" si="63"/>
        <v>69358.670861303559</v>
      </c>
      <c r="P16" s="41">
        <f t="shared" si="63"/>
        <v>50436.777238042916</v>
      </c>
      <c r="Q16" s="41">
        <f>SUM(Q7:Q15)</f>
        <v>46239.113907535728</v>
      </c>
      <c r="R16" s="41">
        <f>SUM(R7:R15)</f>
        <v>682555.07797715708</v>
      </c>
      <c r="S16" s="41">
        <f t="shared" ref="S16:BS16" si="64">SUM(S8:S13)</f>
        <v>39625.701384100452</v>
      </c>
      <c r="T16" s="41">
        <f t="shared" si="64"/>
        <v>42128.937896268071</v>
      </c>
      <c r="U16" s="41">
        <f t="shared" si="64"/>
        <v>59438.55207615067</v>
      </c>
      <c r="V16" s="41">
        <f t="shared" si="64"/>
        <v>70303.663745984668</v>
      </c>
      <c r="W16" s="41">
        <f t="shared" si="64"/>
        <v>79251.402768200904</v>
      </c>
      <c r="X16" s="41">
        <f t="shared" si="64"/>
        <v>70303.663745984668</v>
      </c>
      <c r="Y16" s="41">
        <f t="shared" si="64"/>
        <v>66042.83564016741</v>
      </c>
      <c r="Z16" s="41">
        <f t="shared" si="64"/>
        <v>82553.544550209263</v>
      </c>
      <c r="AA16" s="41">
        <f t="shared" si="64"/>
        <v>79890.526984073484</v>
      </c>
      <c r="AB16" s="41">
        <f t="shared" si="64"/>
        <v>79251.402768200904</v>
      </c>
      <c r="AC16" s="41">
        <f t="shared" si="64"/>
        <v>57521.179428532909</v>
      </c>
      <c r="AD16" s="41">
        <f t="shared" si="64"/>
        <v>52834.268512133931</v>
      </c>
      <c r="AE16" s="41">
        <f t="shared" si="64"/>
        <v>779145.6795000073</v>
      </c>
      <c r="AF16" s="41">
        <f t="shared" si="64"/>
        <v>45331.802383410904</v>
      </c>
      <c r="AG16" s="41">
        <f t="shared" si="64"/>
        <v>48195.504953330688</v>
      </c>
      <c r="AH16" s="41">
        <f t="shared" si="64"/>
        <v>67997.703575116393</v>
      </c>
      <c r="AI16" s="41">
        <f t="shared" si="64"/>
        <v>80427.391325406468</v>
      </c>
      <c r="AJ16" s="41">
        <f t="shared" si="64"/>
        <v>90663.604766821809</v>
      </c>
      <c r="AK16" s="41">
        <f t="shared" si="64"/>
        <v>80427.391325406468</v>
      </c>
      <c r="AL16" s="41">
        <f t="shared" si="64"/>
        <v>75553.003972351522</v>
      </c>
      <c r="AM16" s="41">
        <f t="shared" si="64"/>
        <v>94441.254965439395</v>
      </c>
      <c r="AN16" s="41">
        <f t="shared" si="64"/>
        <v>91394.762869780039</v>
      </c>
      <c r="AO16" s="41">
        <f t="shared" si="64"/>
        <v>90663.604766821809</v>
      </c>
      <c r="AP16" s="41">
        <f t="shared" si="64"/>
        <v>65804.229266241629</v>
      </c>
      <c r="AQ16" s="41">
        <f t="shared" si="64"/>
        <v>60442.403177881228</v>
      </c>
      <c r="AR16" s="41">
        <f t="shared" si="64"/>
        <v>891342.65734800848</v>
      </c>
      <c r="AS16" s="41">
        <f t="shared" si="64"/>
        <v>47598.392502581461</v>
      </c>
      <c r="AT16" s="41">
        <f t="shared" si="64"/>
        <v>50605.280200997222</v>
      </c>
      <c r="AU16" s="41">
        <f t="shared" si="64"/>
        <v>71397.588753872187</v>
      </c>
      <c r="AV16" s="41">
        <f t="shared" si="64"/>
        <v>84448.760891676793</v>
      </c>
      <c r="AW16" s="41">
        <f t="shared" si="64"/>
        <v>95196.785005162921</v>
      </c>
      <c r="AX16" s="41">
        <f t="shared" si="64"/>
        <v>84448.760891676793</v>
      </c>
      <c r="AY16" s="41">
        <f t="shared" si="64"/>
        <v>79330.654170969108</v>
      </c>
      <c r="AZ16" s="41">
        <f t="shared" si="64"/>
        <v>99163.317713711396</v>
      </c>
      <c r="BA16" s="41">
        <f t="shared" si="64"/>
        <v>95964.50101326908</v>
      </c>
      <c r="BB16" s="41">
        <f t="shared" si="64"/>
        <v>95196.785005162921</v>
      </c>
      <c r="BC16" s="41">
        <f t="shared" si="64"/>
        <v>69094.440729553738</v>
      </c>
      <c r="BD16" s="41">
        <f t="shared" si="64"/>
        <v>63464.523336775273</v>
      </c>
      <c r="BE16" s="41">
        <f t="shared" si="64"/>
        <v>935909.79021540878</v>
      </c>
      <c r="BF16" s="41">
        <f t="shared" si="64"/>
        <v>51977.444612818959</v>
      </c>
      <c r="BG16" s="41">
        <f t="shared" si="64"/>
        <v>55260.965979488974</v>
      </c>
      <c r="BH16" s="41">
        <f t="shared" si="64"/>
        <v>77966.166919228432</v>
      </c>
      <c r="BI16" s="41">
        <f t="shared" si="64"/>
        <v>92218.046893711085</v>
      </c>
      <c r="BJ16" s="41">
        <f t="shared" si="64"/>
        <v>103954.88922563792</v>
      </c>
      <c r="BK16" s="41">
        <f t="shared" si="64"/>
        <v>92218.046893711085</v>
      </c>
      <c r="BL16" s="41">
        <f t="shared" si="64"/>
        <v>86629.074354698241</v>
      </c>
      <c r="BM16" s="41">
        <f t="shared" si="64"/>
        <v>108286.34294337282</v>
      </c>
      <c r="BN16" s="41">
        <f t="shared" si="64"/>
        <v>104793.23510648982</v>
      </c>
      <c r="BO16" s="41">
        <f t="shared" si="64"/>
        <v>103954.88922563792</v>
      </c>
      <c r="BP16" s="41">
        <f t="shared" si="64"/>
        <v>75451.129276672698</v>
      </c>
      <c r="BQ16" s="41">
        <f t="shared" si="64"/>
        <v>69303.259483758622</v>
      </c>
      <c r="BR16" s="41">
        <f t="shared" si="64"/>
        <v>1022013.4909152266</v>
      </c>
      <c r="BS16" s="41">
        <f t="shared" si="64"/>
        <v>2756527.3045659796</v>
      </c>
    </row>
    <row r="17" spans="1:71" ht="14.5">
      <c r="A17" s="2"/>
      <c r="B17" s="2"/>
      <c r="C17" s="2"/>
      <c r="D17" s="2"/>
      <c r="E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7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7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7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7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7"/>
      <c r="BS17" s="37"/>
    </row>
    <row r="18" spans="1:71" ht="14.5">
      <c r="A18" s="2"/>
      <c r="B18" s="1" t="s">
        <v>39</v>
      </c>
      <c r="C18" s="2"/>
      <c r="D18" s="2"/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7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7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7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7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7"/>
      <c r="BS18" s="37"/>
    </row>
    <row r="19" spans="1:71" ht="14.5">
      <c r="A19" s="2"/>
      <c r="B19" s="2"/>
      <c r="C19" s="21" t="s">
        <v>545</v>
      </c>
      <c r="D19" s="2"/>
      <c r="E19" s="2"/>
      <c r="F19" s="3">
        <f>'Beer COGS'!K48</f>
        <v>90.117091071428575</v>
      </c>
      <c r="G19" s="3">
        <f>'Beer COGS'!L48</f>
        <v>95.809971824596744</v>
      </c>
      <c r="H19" s="3">
        <f>'Beer COGS'!M48</f>
        <v>135.17563660714288</v>
      </c>
      <c r="I19" s="3">
        <f>'Beer COGS'!N48</f>
        <v>159.88516157834101</v>
      </c>
      <c r="J19" s="3">
        <f>'Beer COGS'!O48</f>
        <v>180.23418214285715</v>
      </c>
      <c r="K19" s="3">
        <f>'Beer COGS'!P48</f>
        <v>159.88516157834101</v>
      </c>
      <c r="L19" s="3">
        <f>'Beer COGS'!Q48</f>
        <v>150.19515178571427</v>
      </c>
      <c r="M19" s="3">
        <f>'Beer COGS'!R48</f>
        <v>187.74393973214285</v>
      </c>
      <c r="N19" s="3">
        <f>'Beer COGS'!S48</f>
        <v>181.68768361175114</v>
      </c>
      <c r="O19" s="3">
        <f>'Beer COGS'!T48</f>
        <v>180.23418214285715</v>
      </c>
      <c r="P19" s="3">
        <f>'Beer COGS'!U48</f>
        <v>130.81513220046085</v>
      </c>
      <c r="Q19" s="3">
        <f>'Beer COGS'!V48</f>
        <v>120.15612142857142</v>
      </c>
      <c r="R19" s="37">
        <f t="shared" ref="R19:R26" si="65">SUM(F19:Q19)</f>
        <v>1771.9394157042052</v>
      </c>
      <c r="S19" s="3">
        <f>'Beer COGS'!X48</f>
        <v>105.70734782678571</v>
      </c>
      <c r="T19" s="3">
        <f>'Beer COGS'!Y48</f>
        <v>112.38509695025201</v>
      </c>
      <c r="U19" s="3">
        <f>'Beer COGS'!Z48</f>
        <v>158.5610217401786</v>
      </c>
      <c r="V19" s="3">
        <f>'Beer COGS'!AA48</f>
        <v>187.54529453139401</v>
      </c>
      <c r="W19" s="3">
        <f>'Beer COGS'!AB48</f>
        <v>211.41469565357141</v>
      </c>
      <c r="X19" s="3">
        <f>'Beer COGS'!AC48</f>
        <v>187.54529453139401</v>
      </c>
      <c r="Y19" s="3">
        <f>'Beer COGS'!AD48</f>
        <v>176.17891304464288</v>
      </c>
      <c r="Z19" s="3">
        <f>'Beer COGS'!AE48</f>
        <v>220.22364130580354</v>
      </c>
      <c r="AA19" s="3">
        <f>'Beer COGS'!AF48</f>
        <v>213.11965287658404</v>
      </c>
      <c r="AB19" s="3">
        <f>'Beer COGS'!AG48</f>
        <v>211.41469565357141</v>
      </c>
      <c r="AC19" s="3">
        <f>'Beer COGS'!AH48</f>
        <v>153.44615007114058</v>
      </c>
      <c r="AD19" s="3">
        <f>'Beer COGS'!AI48</f>
        <v>140.94313043571427</v>
      </c>
      <c r="AE19" s="37">
        <f>SUM(S19:AD19)</f>
        <v>2078.4849346210326</v>
      </c>
      <c r="AF19" s="3">
        <f>'Beer COGS'!AK48</f>
        <v>118.60364426165356</v>
      </c>
      <c r="AG19" s="3">
        <f>'Beer COGS'!AL48</f>
        <v>126.09607877818276</v>
      </c>
      <c r="AH19" s="3">
        <f>'Beer COGS'!AM48</f>
        <v>177.90546639248041</v>
      </c>
      <c r="AI19" s="3">
        <f>'Beer COGS'!AN48</f>
        <v>210.42582046422407</v>
      </c>
      <c r="AJ19" s="3">
        <f>'Beer COGS'!AO48</f>
        <v>237.20728852330711</v>
      </c>
      <c r="AK19" s="3">
        <f>'Beer COGS'!AP48</f>
        <v>210.42582046422407</v>
      </c>
      <c r="AL19" s="3">
        <f>'Beer COGS'!AQ48</f>
        <v>197.6727404360893</v>
      </c>
      <c r="AM19" s="3">
        <f>'Beer COGS'!AR48</f>
        <v>247.09092554511162</v>
      </c>
      <c r="AN19" s="3">
        <f>'Beer COGS'!AS48</f>
        <v>239.12025052752739</v>
      </c>
      <c r="AO19" s="3">
        <f>'Beer COGS'!AT48</f>
        <v>237.20728852330711</v>
      </c>
      <c r="AP19" s="3">
        <f>'Beer COGS'!AU48</f>
        <v>172.16658037981972</v>
      </c>
      <c r="AQ19" s="3">
        <f>'Beer COGS'!AV48</f>
        <v>158.13819234887143</v>
      </c>
      <c r="AR19" s="37">
        <f>SUM(AF19:AQ19)</f>
        <v>2332.0600966447987</v>
      </c>
      <c r="AS19" s="3">
        <f>'Beer COGS'!AX48</f>
        <v>127.02450300423099</v>
      </c>
      <c r="AT19" s="3">
        <f>'Beer COGS'!AY48</f>
        <v>135.04890037143375</v>
      </c>
      <c r="AU19" s="3">
        <f>'Beer COGS'!AZ48</f>
        <v>190.53675450634651</v>
      </c>
      <c r="AV19" s="3">
        <f>'Beer COGS'!BA48</f>
        <v>225.366053717184</v>
      </c>
      <c r="AW19" s="3">
        <f>'Beer COGS'!BB48</f>
        <v>254.04900600846199</v>
      </c>
      <c r="AX19" s="3">
        <f>'Beer COGS'!BC48</f>
        <v>225.366053717184</v>
      </c>
      <c r="AY19" s="3">
        <f>'Beer COGS'!BD48</f>
        <v>211.70750500705168</v>
      </c>
      <c r="AZ19" s="3">
        <f>'Beer COGS'!BE48</f>
        <v>264.63438125881453</v>
      </c>
      <c r="BA19" s="3">
        <f>'Beer COGS'!BF48</f>
        <v>256.09778831498187</v>
      </c>
      <c r="BB19" s="3">
        <f>'Beer COGS'!BG48</f>
        <v>254.04900600846199</v>
      </c>
      <c r="BC19" s="3">
        <f>'Beer COGS'!BH48</f>
        <v>184.39040758678695</v>
      </c>
      <c r="BD19" s="3">
        <f>'Beer COGS'!BI48</f>
        <v>169.36600400564132</v>
      </c>
      <c r="BE19" s="37">
        <f>SUM(AS19:BD19)</f>
        <v>2497.6363635065791</v>
      </c>
      <c r="BF19" s="3">
        <f>'Beer COGS'!BK48</f>
        <v>136.04324271753143</v>
      </c>
      <c r="BG19" s="3">
        <f>'Beer COGS'!BL48</f>
        <v>144.63737229780554</v>
      </c>
      <c r="BH19" s="3">
        <f>'Beer COGS'!BM48</f>
        <v>204.06486407629711</v>
      </c>
      <c r="BI19" s="3">
        <f>'Beer COGS'!BN48</f>
        <v>241.36704353110412</v>
      </c>
      <c r="BJ19" s="3">
        <f>'Beer COGS'!BO48</f>
        <v>272.08648543506285</v>
      </c>
      <c r="BK19" s="3">
        <f>'Beer COGS'!BP48</f>
        <v>241.36704353110412</v>
      </c>
      <c r="BL19" s="3">
        <f>'Beer COGS'!BQ48</f>
        <v>226.73873786255237</v>
      </c>
      <c r="BM19" s="3">
        <f>'Beer COGS'!BR48</f>
        <v>283.42342232819044</v>
      </c>
      <c r="BN19" s="3">
        <f>'Beer COGS'!BS48</f>
        <v>274.28073128534561</v>
      </c>
      <c r="BO19" s="3">
        <f>'Beer COGS'!BT48</f>
        <v>272.08648543506285</v>
      </c>
      <c r="BP19" s="3">
        <f>'Beer COGS'!BU48</f>
        <v>197.48212652544888</v>
      </c>
      <c r="BQ19" s="3">
        <f>'Beer COGS'!BV48</f>
        <v>181.39099029004188</v>
      </c>
      <c r="BR19" s="37">
        <f>SUM(BF19:BQ19)</f>
        <v>2674.9685453155475</v>
      </c>
      <c r="BS19" s="37">
        <f>R19+AE19+AR19+BE19+BR19</f>
        <v>11355.089355792163</v>
      </c>
    </row>
    <row r="20" spans="1:71" ht="14.5">
      <c r="A20" s="2"/>
      <c r="B20" s="2"/>
      <c r="C20" s="21" t="s">
        <v>546</v>
      </c>
      <c r="D20" s="2"/>
      <c r="E20" s="2"/>
      <c r="F20" s="3">
        <f>'Beer COGS'!K23</f>
        <v>1205.9638727678573</v>
      </c>
      <c r="G20" s="3">
        <f>'Beer COGS'!L23</f>
        <v>1282.1470744077617</v>
      </c>
      <c r="H20" s="3">
        <f>'Beer COGS'!M23</f>
        <v>1808.9458091517861</v>
      </c>
      <c r="I20" s="3">
        <f>'Beer COGS'!N23</f>
        <v>2139.6133226526499</v>
      </c>
      <c r="J20" s="3">
        <f>'Beer COGS'!O23</f>
        <v>2411.9277455357146</v>
      </c>
      <c r="K20" s="3">
        <f>'Beer COGS'!P23</f>
        <v>2139.6133226526499</v>
      </c>
      <c r="L20" s="3">
        <f>'Beer COGS'!Q23</f>
        <v>2009.9397879464289</v>
      </c>
      <c r="M20" s="3">
        <f>'Beer COGS'!R23</f>
        <v>2512.4247349330358</v>
      </c>
      <c r="N20" s="3">
        <f>'Beer COGS'!S23</f>
        <v>2431.3787757416471</v>
      </c>
      <c r="O20" s="3">
        <f>'Beer COGS'!T23</f>
        <v>2411.9277455357146</v>
      </c>
      <c r="P20" s="3">
        <f>'Beer COGS'!U23</f>
        <v>1750.5927185339863</v>
      </c>
      <c r="Q20" s="3">
        <f>'Beer COGS'!V23</f>
        <v>1607.9518303571429</v>
      </c>
      <c r="R20" s="37">
        <f t="shared" si="65"/>
        <v>23712.426740216375</v>
      </c>
      <c r="S20" s="3">
        <f>'Beer COGS'!X23</f>
        <v>1414.595622756696</v>
      </c>
      <c r="T20" s="3">
        <f>'Beer COGS'!Y23</f>
        <v>1503.9585182803046</v>
      </c>
      <c r="U20" s="3">
        <f>'Beer COGS'!Z23</f>
        <v>2121.8934341350441</v>
      </c>
      <c r="V20" s="3">
        <f>'Beer COGS'!AA23</f>
        <v>2509.766427471558</v>
      </c>
      <c r="W20" s="3">
        <f>'Beer COGS'!AB23</f>
        <v>2829.191245513392</v>
      </c>
      <c r="X20" s="3">
        <f>'Beer COGS'!AC23</f>
        <v>2509.766427471558</v>
      </c>
      <c r="Y20" s="3">
        <f>'Beer COGS'!AD23</f>
        <v>2357.6593712611607</v>
      </c>
      <c r="Z20" s="3">
        <f>'Beer COGS'!AE23</f>
        <v>2947.0742140764501</v>
      </c>
      <c r="AA20" s="3">
        <f>'Beer COGS'!AF23</f>
        <v>2852.0073039449517</v>
      </c>
      <c r="AB20" s="3">
        <f>'Beer COGS'!AG23</f>
        <v>2829.191245513392</v>
      </c>
      <c r="AC20" s="3">
        <f>'Beer COGS'!AH23</f>
        <v>2053.4452588403651</v>
      </c>
      <c r="AD20" s="3">
        <f>'Beer COGS'!AI23</f>
        <v>1886.1274970089282</v>
      </c>
      <c r="AE20" s="37">
        <f>SUM(S20:AD20)</f>
        <v>27814.676566273803</v>
      </c>
      <c r="AF20" s="3">
        <f>'Beer COGS'!AK23</f>
        <v>1587.1762887330128</v>
      </c>
      <c r="AG20" s="3">
        <f>'Beer COGS'!AL23</f>
        <v>1687.441457510502</v>
      </c>
      <c r="AH20" s="3">
        <f>'Beer COGS'!AM23</f>
        <v>2380.7644330995204</v>
      </c>
      <c r="AI20" s="3">
        <f>'Beer COGS'!AN23</f>
        <v>2815.9579316230884</v>
      </c>
      <c r="AJ20" s="3">
        <f>'Beer COGS'!AO23</f>
        <v>3174.3525774660257</v>
      </c>
      <c r="AK20" s="3">
        <f>'Beer COGS'!AP23</f>
        <v>2815.9579316230884</v>
      </c>
      <c r="AL20" s="3">
        <f>'Beer COGS'!AQ23</f>
        <v>2645.2938145550224</v>
      </c>
      <c r="AM20" s="3">
        <f>'Beer COGS'!AR23</f>
        <v>3306.6172681937783</v>
      </c>
      <c r="AN20" s="3">
        <f>'Beer COGS'!AS23</f>
        <v>3199.9521950262365</v>
      </c>
      <c r="AO20" s="3">
        <f>'Beer COGS'!AT23</f>
        <v>3174.3525774660257</v>
      </c>
      <c r="AP20" s="3">
        <f>'Beer COGS'!AU23</f>
        <v>2303.9655804188906</v>
      </c>
      <c r="AQ20" s="3">
        <f>'Beer COGS'!AV23</f>
        <v>2116.2350516440183</v>
      </c>
      <c r="AR20" s="37">
        <f>SUM(AF20:AQ20)</f>
        <v>31208.067107359209</v>
      </c>
      <c r="AS20" s="3">
        <f>'Beer COGS'!AX23</f>
        <v>1699.8658052330575</v>
      </c>
      <c r="AT20" s="3">
        <f>'Beer COGS'!AY23</f>
        <v>1807.2498009937478</v>
      </c>
      <c r="AU20" s="3">
        <f>'Beer COGS'!AZ23</f>
        <v>2549.7987078495858</v>
      </c>
      <c r="AV20" s="3">
        <f>'Beer COGS'!BA23</f>
        <v>3015.8909447683282</v>
      </c>
      <c r="AW20" s="3">
        <f>'Beer COGS'!BB23</f>
        <v>3399.7316104661149</v>
      </c>
      <c r="AX20" s="3">
        <f>'Beer COGS'!BC23</f>
        <v>3015.8909447683282</v>
      </c>
      <c r="AY20" s="3">
        <f>'Beer COGS'!BD23</f>
        <v>2833.1096753884294</v>
      </c>
      <c r="AZ20" s="3">
        <f>'Beer COGS'!BE23</f>
        <v>3541.387094235537</v>
      </c>
      <c r="BA20" s="3">
        <f>'Beer COGS'!BF23</f>
        <v>3427.1488008730998</v>
      </c>
      <c r="BB20" s="3">
        <f>'Beer COGS'!BG23</f>
        <v>3399.7316104661149</v>
      </c>
      <c r="BC20" s="3">
        <f>'Beer COGS'!BH23</f>
        <v>2467.5471366286324</v>
      </c>
      <c r="BD20" s="3">
        <f>'Beer COGS'!BI23</f>
        <v>2266.4877403107434</v>
      </c>
      <c r="BE20" s="37">
        <f>SUM(AS20:BD20)</f>
        <v>33423.839871981727</v>
      </c>
      <c r="BF20" s="3">
        <f>'Beer COGS'!BK23</f>
        <v>1820.5562774046048</v>
      </c>
      <c r="BG20" s="3">
        <f>'Beer COGS'!BL23</f>
        <v>1935.5645368643038</v>
      </c>
      <c r="BH20" s="3">
        <f>'Beer COGS'!BM23</f>
        <v>2730.8344161069067</v>
      </c>
      <c r="BI20" s="3">
        <f>'Beer COGS'!BN23</f>
        <v>3230.0192018468797</v>
      </c>
      <c r="BJ20" s="3">
        <f>'Beer COGS'!BO23</f>
        <v>3641.1125548092095</v>
      </c>
      <c r="BK20" s="3">
        <f>'Beer COGS'!BP23</f>
        <v>3230.0192018468797</v>
      </c>
      <c r="BL20" s="3">
        <f>'Beer COGS'!BQ23</f>
        <v>3034.2604623410075</v>
      </c>
      <c r="BM20" s="3">
        <f>'Beer COGS'!BR23</f>
        <v>3792.8255779262595</v>
      </c>
      <c r="BN20" s="3">
        <f>'Beer COGS'!BS23</f>
        <v>3670.47636573509</v>
      </c>
      <c r="BO20" s="3">
        <f>'Beer COGS'!BT23</f>
        <v>3641.1125548092095</v>
      </c>
      <c r="BP20" s="3">
        <f>'Beer COGS'!BU23</f>
        <v>2642.7429833292658</v>
      </c>
      <c r="BQ20" s="3">
        <f>'Beer COGS'!BV23</f>
        <v>2427.4083698728064</v>
      </c>
      <c r="BR20" s="37">
        <f>SUM(BF20:BQ20)</f>
        <v>35796.932502892421</v>
      </c>
      <c r="BS20" s="37"/>
    </row>
    <row r="21" spans="1:71" ht="14.5">
      <c r="A21" s="2"/>
      <c r="B21" s="2"/>
      <c r="C21" s="21" t="s">
        <v>548</v>
      </c>
      <c r="D21" s="2"/>
      <c r="E21" s="2"/>
      <c r="F21" s="3">
        <f>'Beer COGS'!K39</f>
        <v>389.99466666666524</v>
      </c>
      <c r="G21" s="3">
        <f>'Beer COGS'!L39</f>
        <v>414.63142652329594</v>
      </c>
      <c r="H21" s="3">
        <f>'Beer COGS'!M39</f>
        <v>584.99199999999792</v>
      </c>
      <c r="I21" s="3">
        <f>'Beer COGS'!N39</f>
        <v>691.92602150537391</v>
      </c>
      <c r="J21" s="3">
        <f>'Beer COGS'!O39</f>
        <v>779.98933333333048</v>
      </c>
      <c r="K21" s="3">
        <f>'Beer COGS'!P39</f>
        <v>691.92602150537391</v>
      </c>
      <c r="L21" s="3">
        <f>'Beer COGS'!Q39</f>
        <v>649.99111111110892</v>
      </c>
      <c r="M21" s="3">
        <f>'Beer COGS'!R39</f>
        <v>812.48888888888632</v>
      </c>
      <c r="N21" s="3">
        <f>'Beer COGS'!S39</f>
        <v>786.27956989247025</v>
      </c>
      <c r="O21" s="3">
        <f>'Beer COGS'!T39</f>
        <v>779.98933333333048</v>
      </c>
      <c r="P21" s="3">
        <f>'Beer COGS'!U39</f>
        <v>566.12129032257872</v>
      </c>
      <c r="Q21" s="3">
        <f>'Beer COGS'!V39</f>
        <v>519.99288888888714</v>
      </c>
      <c r="R21" s="37">
        <f t="shared" si="65"/>
        <v>7668.3225519712987</v>
      </c>
      <c r="S21" s="3">
        <f>'Beer COGS'!X39</f>
        <v>457.46374399999837</v>
      </c>
      <c r="T21" s="3">
        <f>'Beer COGS'!Y39</f>
        <v>486.36266331182622</v>
      </c>
      <c r="U21" s="3">
        <f>'Beer COGS'!Z39</f>
        <v>686.19561599999759</v>
      </c>
      <c r="V21" s="3">
        <f>'Beer COGS'!AA39</f>
        <v>811.6292232258038</v>
      </c>
      <c r="W21" s="3">
        <f>'Beer COGS'!AB39</f>
        <v>914.92748799999674</v>
      </c>
      <c r="X21" s="3">
        <f>'Beer COGS'!AC39</f>
        <v>811.6292232258038</v>
      </c>
      <c r="Y21" s="3">
        <f>'Beer COGS'!AD39</f>
        <v>762.43957333333071</v>
      </c>
      <c r="Z21" s="3">
        <f>'Beer COGS'!AE39</f>
        <v>953.04946666666331</v>
      </c>
      <c r="AA21" s="3">
        <f>'Beer COGS'!AF39</f>
        <v>922.30593548386764</v>
      </c>
      <c r="AB21" s="3">
        <f>'Beer COGS'!AG39</f>
        <v>914.92748799999674</v>
      </c>
      <c r="AC21" s="3">
        <f>'Beer COGS'!AH39</f>
        <v>664.06027354838466</v>
      </c>
      <c r="AD21" s="3">
        <f>'Beer COGS'!AI39</f>
        <v>609.95165866666446</v>
      </c>
      <c r="AE21" s="37">
        <f>SUM(S21:AD21)</f>
        <v>8994.9423534623347</v>
      </c>
      <c r="AF21" s="3">
        <f>'Beer COGS'!AK39</f>
        <v>513.27432076799823</v>
      </c>
      <c r="AG21" s="3">
        <f>'Beer COGS'!AL39</f>
        <v>545.698908235869</v>
      </c>
      <c r="AH21" s="3">
        <f>'Beer COGS'!AM39</f>
        <v>769.91148115199735</v>
      </c>
      <c r="AI21" s="3">
        <f>'Beer COGS'!AN39</f>
        <v>910.64798845935184</v>
      </c>
      <c r="AJ21" s="3">
        <f>'Beer COGS'!AO39</f>
        <v>1026.5486415359965</v>
      </c>
      <c r="AK21" s="3">
        <f>'Beer COGS'!AP39</f>
        <v>910.64798845935184</v>
      </c>
      <c r="AL21" s="3">
        <f>'Beer COGS'!AQ39</f>
        <v>855.45720127999698</v>
      </c>
      <c r="AM21" s="3">
        <f>'Beer COGS'!AR39</f>
        <v>1069.3215015999965</v>
      </c>
      <c r="AN21" s="3">
        <f>'Beer COGS'!AS39</f>
        <v>1034.8272596128995</v>
      </c>
      <c r="AO21" s="3">
        <f>'Beer COGS'!AT39</f>
        <v>1026.5486415359965</v>
      </c>
      <c r="AP21" s="3">
        <f>'Beer COGS'!AU39</f>
        <v>745.07562692128784</v>
      </c>
      <c r="AQ21" s="3">
        <f>'Beer COGS'!AV39</f>
        <v>684.36576102399749</v>
      </c>
      <c r="AR21" s="37">
        <f>SUM(AF21:AQ21)</f>
        <v>10092.32532058474</v>
      </c>
      <c r="AS21" s="3">
        <f>'Beer COGS'!AX39</f>
        <v>549.71679754252602</v>
      </c>
      <c r="AT21" s="3">
        <f>'Beer COGS'!AY39</f>
        <v>584.44353072061563</v>
      </c>
      <c r="AU21" s="3">
        <f>'Beer COGS'!AZ39</f>
        <v>824.57519631378921</v>
      </c>
      <c r="AV21" s="3">
        <f>'Beer COGS'!BA39</f>
        <v>975.30399563996571</v>
      </c>
      <c r="AW21" s="3">
        <f>'Beer COGS'!BB39</f>
        <v>1099.433595085052</v>
      </c>
      <c r="AX21" s="3">
        <f>'Beer COGS'!BC39</f>
        <v>975.30399563996571</v>
      </c>
      <c r="AY21" s="3">
        <f>'Beer COGS'!BD39</f>
        <v>916.19466257087674</v>
      </c>
      <c r="AZ21" s="3">
        <f>'Beer COGS'!BE39</f>
        <v>1145.2433282135962</v>
      </c>
      <c r="BA21" s="3">
        <f>'Beer COGS'!BF39</f>
        <v>1108.2999950454157</v>
      </c>
      <c r="BB21" s="3">
        <f>'Beer COGS'!BG39</f>
        <v>1099.433595085052</v>
      </c>
      <c r="BC21" s="3">
        <f>'Beer COGS'!BH39</f>
        <v>797.97599643269916</v>
      </c>
      <c r="BD21" s="3">
        <f>'Beer COGS'!BI39</f>
        <v>732.95573005670167</v>
      </c>
      <c r="BE21" s="37">
        <f>SUM(AS21:BD21)</f>
        <v>10808.880418346254</v>
      </c>
      <c r="BF21" s="3">
        <f>'Beer COGS'!BK39</f>
        <v>588.74669016804557</v>
      </c>
      <c r="BG21" s="3">
        <f>'Beer COGS'!BL39</f>
        <v>625.93902140177954</v>
      </c>
      <c r="BH21" s="3">
        <f>'Beer COGS'!BM39</f>
        <v>883.12003525206819</v>
      </c>
      <c r="BI21" s="3">
        <f>'Beer COGS'!BN39</f>
        <v>1044.5505793304035</v>
      </c>
      <c r="BJ21" s="3">
        <f>'Beer COGS'!BO39</f>
        <v>1177.4933803360911</v>
      </c>
      <c r="BK21" s="3">
        <f>'Beer COGS'!BP39</f>
        <v>1044.5505793304035</v>
      </c>
      <c r="BL21" s="3">
        <f>'Beer COGS'!BQ39</f>
        <v>981.24448361340922</v>
      </c>
      <c r="BM21" s="3">
        <f>'Beer COGS'!BR39</f>
        <v>1226.5556045167618</v>
      </c>
      <c r="BN21" s="3">
        <f>'Beer COGS'!BS39</f>
        <v>1186.9892946936402</v>
      </c>
      <c r="BO21" s="3">
        <f>'Beer COGS'!BT39</f>
        <v>1177.4933803360911</v>
      </c>
      <c r="BP21" s="3">
        <f>'Beer COGS'!BU39</f>
        <v>854.63229217942092</v>
      </c>
      <c r="BQ21" s="3">
        <f>'Beer COGS'!BV39</f>
        <v>784.99558689072728</v>
      </c>
      <c r="BR21" s="37">
        <f>SUM(BF21:BQ21)</f>
        <v>11576.310928048842</v>
      </c>
      <c r="BS21" s="37"/>
    </row>
    <row r="22" spans="1:71" ht="14.5">
      <c r="A22" s="2"/>
      <c r="B22" s="332">
        <v>0.3</v>
      </c>
      <c r="C22" s="21" t="s">
        <v>549</v>
      </c>
      <c r="D22" s="2"/>
      <c r="E22" s="2"/>
      <c r="F22" s="3">
        <f>F11*$B$22</f>
        <v>2176.1999999999998</v>
      </c>
      <c r="G22" s="3">
        <f t="shared" ref="G22:Q22" si="66">G11*$B$22</f>
        <v>2313.6749999999997</v>
      </c>
      <c r="H22" s="3">
        <f t="shared" si="66"/>
        <v>3264.2999999999997</v>
      </c>
      <c r="I22" s="3">
        <f t="shared" si="66"/>
        <v>3861.0000000000005</v>
      </c>
      <c r="J22" s="3">
        <f t="shared" si="66"/>
        <v>4352.3999999999996</v>
      </c>
      <c r="K22" s="3">
        <f t="shared" si="66"/>
        <v>3861.0000000000005</v>
      </c>
      <c r="L22" s="3">
        <f t="shared" si="66"/>
        <v>3627</v>
      </c>
      <c r="M22" s="3">
        <f t="shared" si="66"/>
        <v>4533.75</v>
      </c>
      <c r="N22" s="3">
        <f t="shared" si="66"/>
        <v>4387.5</v>
      </c>
      <c r="O22" s="3">
        <f t="shared" si="66"/>
        <v>4352.3999999999996</v>
      </c>
      <c r="P22" s="3">
        <f t="shared" si="66"/>
        <v>3159</v>
      </c>
      <c r="Q22" s="3">
        <f t="shared" si="66"/>
        <v>2901.6</v>
      </c>
      <c r="R22" s="37">
        <f t="shared" si="65"/>
        <v>42789.824999999997</v>
      </c>
      <c r="S22" s="3">
        <f>S11*$B$22</f>
        <v>2502.6299999999997</v>
      </c>
      <c r="T22" s="3">
        <f t="shared" ref="T22:AD22" si="67">T11*$B$22</f>
        <v>2660.7262499999993</v>
      </c>
      <c r="U22" s="3">
        <f t="shared" si="67"/>
        <v>3753.9449999999997</v>
      </c>
      <c r="V22" s="3">
        <f t="shared" si="67"/>
        <v>4440.1500000000005</v>
      </c>
      <c r="W22" s="3">
        <f t="shared" si="67"/>
        <v>5005.2599999999993</v>
      </c>
      <c r="X22" s="3">
        <f t="shared" si="67"/>
        <v>4440.1500000000005</v>
      </c>
      <c r="Y22" s="3">
        <f t="shared" si="67"/>
        <v>4171.0499999999993</v>
      </c>
      <c r="Z22" s="3">
        <f t="shared" si="67"/>
        <v>5213.8125</v>
      </c>
      <c r="AA22" s="3">
        <f t="shared" si="67"/>
        <v>5045.625</v>
      </c>
      <c r="AB22" s="3">
        <f t="shared" si="67"/>
        <v>5005.2599999999993</v>
      </c>
      <c r="AC22" s="3">
        <f t="shared" si="67"/>
        <v>3632.8499999999995</v>
      </c>
      <c r="AD22" s="3">
        <f t="shared" si="67"/>
        <v>3336.8399999999997</v>
      </c>
      <c r="AE22" s="37">
        <f>SUM(S22:AD22)</f>
        <v>49208.298749999994</v>
      </c>
      <c r="AF22" s="3">
        <f>AF11*$B$22</f>
        <v>2863.0087199999998</v>
      </c>
      <c r="AG22" s="3">
        <f t="shared" ref="AG22:AQ22" si="68">AG11*$B$22</f>
        <v>3043.8708299999994</v>
      </c>
      <c r="AH22" s="3">
        <f t="shared" si="68"/>
        <v>4294.5130799999997</v>
      </c>
      <c r="AI22" s="3">
        <f t="shared" si="68"/>
        <v>5079.5316000000012</v>
      </c>
      <c r="AJ22" s="3">
        <f t="shared" si="68"/>
        <v>5726.0174399999996</v>
      </c>
      <c r="AK22" s="3">
        <f t="shared" si="68"/>
        <v>5079.5316000000012</v>
      </c>
      <c r="AL22" s="3">
        <f t="shared" si="68"/>
        <v>4771.6812</v>
      </c>
      <c r="AM22" s="3">
        <f t="shared" si="68"/>
        <v>5964.6014999999998</v>
      </c>
      <c r="AN22" s="3">
        <f t="shared" si="68"/>
        <v>5772.1950000000006</v>
      </c>
      <c r="AO22" s="3">
        <f t="shared" si="68"/>
        <v>5726.0174399999996</v>
      </c>
      <c r="AP22" s="3">
        <f t="shared" si="68"/>
        <v>4155.9803999999995</v>
      </c>
      <c r="AQ22" s="3">
        <f t="shared" si="68"/>
        <v>3817.3449599999999</v>
      </c>
      <c r="AR22" s="37">
        <f>SUM(AF22:AQ22)</f>
        <v>56294.293770000004</v>
      </c>
      <c r="AS22" s="3">
        <f>AS11*$B$22</f>
        <v>3006.1591560000002</v>
      </c>
      <c r="AT22" s="3">
        <f t="shared" ref="AT22:BD22" si="69">AT11*$B$22</f>
        <v>3196.0643714999997</v>
      </c>
      <c r="AU22" s="3">
        <f t="shared" si="69"/>
        <v>4509.2387340000005</v>
      </c>
      <c r="AV22" s="3">
        <f t="shared" si="69"/>
        <v>5333.5081800000016</v>
      </c>
      <c r="AW22" s="3">
        <f t="shared" si="69"/>
        <v>6012.3183120000003</v>
      </c>
      <c r="AX22" s="3">
        <f t="shared" si="69"/>
        <v>5333.5081800000016</v>
      </c>
      <c r="AY22" s="3">
        <f t="shared" si="69"/>
        <v>5010.2652600000001</v>
      </c>
      <c r="AZ22" s="3">
        <f t="shared" si="69"/>
        <v>6262.8315750000002</v>
      </c>
      <c r="BA22" s="3">
        <f t="shared" si="69"/>
        <v>6060.8047500000002</v>
      </c>
      <c r="BB22" s="3">
        <f t="shared" si="69"/>
        <v>6012.3183120000003</v>
      </c>
      <c r="BC22" s="3">
        <f t="shared" si="69"/>
        <v>4363.7794199999998</v>
      </c>
      <c r="BD22" s="3">
        <f t="shared" si="69"/>
        <v>4008.2122079999999</v>
      </c>
      <c r="BE22" s="37">
        <f>SUM(AS22:BD22)</f>
        <v>59109.0084585</v>
      </c>
      <c r="BF22" s="3">
        <f>BF11*$B$22</f>
        <v>3282.7257983519999</v>
      </c>
      <c r="BG22" s="3">
        <f t="shared" ref="BG22:BQ22" si="70">BG11*$B$22</f>
        <v>3490.102293678</v>
      </c>
      <c r="BH22" s="3">
        <f t="shared" si="70"/>
        <v>4924.0886975280009</v>
      </c>
      <c r="BI22" s="3">
        <f t="shared" si="70"/>
        <v>5824.1909325600027</v>
      </c>
      <c r="BJ22" s="3">
        <f t="shared" si="70"/>
        <v>6565.4515967039997</v>
      </c>
      <c r="BK22" s="3">
        <f t="shared" si="70"/>
        <v>5824.1909325600027</v>
      </c>
      <c r="BL22" s="3">
        <f t="shared" si="70"/>
        <v>5471.2096639199999</v>
      </c>
      <c r="BM22" s="3">
        <f t="shared" si="70"/>
        <v>6839.0120799000015</v>
      </c>
      <c r="BN22" s="3">
        <f t="shared" si="70"/>
        <v>6618.398787000001</v>
      </c>
      <c r="BO22" s="3">
        <f t="shared" si="70"/>
        <v>6565.4515967039997</v>
      </c>
      <c r="BP22" s="3">
        <f t="shared" si="70"/>
        <v>4765.2471266400007</v>
      </c>
      <c r="BQ22" s="3">
        <f t="shared" si="70"/>
        <v>4376.9677311360001</v>
      </c>
      <c r="BR22" s="37">
        <f>SUM(BF22:BQ22)</f>
        <v>64547.037236682001</v>
      </c>
      <c r="BS22" s="37"/>
    </row>
    <row r="23" spans="1:71" ht="14.5">
      <c r="A23" s="2"/>
      <c r="B23" s="332">
        <v>0.25</v>
      </c>
      <c r="C23" s="21" t="s">
        <v>551</v>
      </c>
      <c r="D23" s="2"/>
      <c r="E23" s="2"/>
      <c r="F23" s="3">
        <f>F12*$B$23</f>
        <v>954.7778571428571</v>
      </c>
      <c r="G23" s="3">
        <f t="shared" ref="G23:Q23" si="71">G12*$B$23</f>
        <v>1015.0931249999999</v>
      </c>
      <c r="H23" s="3">
        <f t="shared" si="71"/>
        <v>1432.1667857142859</v>
      </c>
      <c r="I23" s="3">
        <f t="shared" si="71"/>
        <v>1693.9607142857142</v>
      </c>
      <c r="J23" s="3">
        <f t="shared" si="71"/>
        <v>1909.5557142857142</v>
      </c>
      <c r="K23" s="3">
        <f t="shared" si="71"/>
        <v>1693.9607142857142</v>
      </c>
      <c r="L23" s="3">
        <f t="shared" si="71"/>
        <v>1591.2964285714286</v>
      </c>
      <c r="M23" s="3">
        <f t="shared" si="71"/>
        <v>1989.1205357142858</v>
      </c>
      <c r="N23" s="3">
        <f t="shared" si="71"/>
        <v>1924.9553571428569</v>
      </c>
      <c r="O23" s="3">
        <f t="shared" si="71"/>
        <v>1909.5557142857142</v>
      </c>
      <c r="P23" s="3">
        <f t="shared" si="71"/>
        <v>1385.9678571428572</v>
      </c>
      <c r="Q23" s="3">
        <f t="shared" si="71"/>
        <v>1273.037142857143</v>
      </c>
      <c r="R23" s="37">
        <f t="shared" si="65"/>
        <v>18773.447946428569</v>
      </c>
      <c r="S23" s="3">
        <f>S12*$B$23</f>
        <v>1097.9945357142856</v>
      </c>
      <c r="T23" s="3">
        <f t="shared" ref="T23:AD23" si="72">T12*$B$23</f>
        <v>1167.3570937499999</v>
      </c>
      <c r="U23" s="3">
        <f t="shared" si="72"/>
        <v>1646.9918035714286</v>
      </c>
      <c r="V23" s="3">
        <f t="shared" si="72"/>
        <v>1948.0548214285711</v>
      </c>
      <c r="W23" s="3">
        <f t="shared" si="72"/>
        <v>2195.9890714285712</v>
      </c>
      <c r="X23" s="3">
        <f t="shared" si="72"/>
        <v>1948.0548214285711</v>
      </c>
      <c r="Y23" s="3">
        <f t="shared" si="72"/>
        <v>1829.9908928571426</v>
      </c>
      <c r="Z23" s="3">
        <f t="shared" si="72"/>
        <v>2287.4886160714286</v>
      </c>
      <c r="AA23" s="3">
        <f t="shared" si="72"/>
        <v>2213.6986607142853</v>
      </c>
      <c r="AB23" s="3">
        <f t="shared" si="72"/>
        <v>2195.9890714285712</v>
      </c>
      <c r="AC23" s="3">
        <f t="shared" si="72"/>
        <v>1593.8630357142856</v>
      </c>
      <c r="AD23" s="3">
        <f t="shared" si="72"/>
        <v>1463.9927142857143</v>
      </c>
      <c r="AE23" s="37">
        <f>SUM(S23:AD23)</f>
        <v>21589.465138392858</v>
      </c>
      <c r="AF23" s="3">
        <f>AF12*$B$23</f>
        <v>1256.1057488571428</v>
      </c>
      <c r="AG23" s="3">
        <f t="shared" ref="AG23:AQ23" si="73">AG12*$B$23</f>
        <v>1335.4565152500002</v>
      </c>
      <c r="AH23" s="3">
        <f t="shared" si="73"/>
        <v>1884.1586232857144</v>
      </c>
      <c r="AI23" s="3">
        <f t="shared" si="73"/>
        <v>2228.574715714286</v>
      </c>
      <c r="AJ23" s="3">
        <f t="shared" si="73"/>
        <v>2512.2114977142855</v>
      </c>
      <c r="AK23" s="3">
        <f t="shared" si="73"/>
        <v>2228.574715714286</v>
      </c>
      <c r="AL23" s="3">
        <f t="shared" si="73"/>
        <v>2093.5095814285714</v>
      </c>
      <c r="AM23" s="3">
        <f t="shared" si="73"/>
        <v>2616.886976785715</v>
      </c>
      <c r="AN23" s="3">
        <f t="shared" si="73"/>
        <v>2532.4712678571427</v>
      </c>
      <c r="AO23" s="3">
        <f t="shared" si="73"/>
        <v>2512.2114977142855</v>
      </c>
      <c r="AP23" s="3">
        <f t="shared" si="73"/>
        <v>1823.3793128571428</v>
      </c>
      <c r="AQ23" s="3">
        <f t="shared" si="73"/>
        <v>1674.8076651428576</v>
      </c>
      <c r="AR23" s="37">
        <f>SUM(AF23:AQ23)</f>
        <v>24698.348118321424</v>
      </c>
      <c r="AS23" s="3">
        <f>AS12*$B$23</f>
        <v>1318.9110363</v>
      </c>
      <c r="AT23" s="3">
        <f t="shared" ref="AT23:BD23" si="74">AT12*$B$23</f>
        <v>1402.2293410125003</v>
      </c>
      <c r="AU23" s="3">
        <f t="shared" si="74"/>
        <v>1978.3665544500002</v>
      </c>
      <c r="AV23" s="3">
        <f t="shared" si="74"/>
        <v>2340.0034515000002</v>
      </c>
      <c r="AW23" s="3">
        <f t="shared" si="74"/>
        <v>2637.8220726</v>
      </c>
      <c r="AX23" s="3">
        <f t="shared" si="74"/>
        <v>2340.0034515000002</v>
      </c>
      <c r="AY23" s="3">
        <f t="shared" si="74"/>
        <v>2198.1850605</v>
      </c>
      <c r="AZ23" s="3">
        <f t="shared" si="74"/>
        <v>2747.7313256250009</v>
      </c>
      <c r="BA23" s="3">
        <f t="shared" si="74"/>
        <v>2659.09483125</v>
      </c>
      <c r="BB23" s="3">
        <f t="shared" si="74"/>
        <v>2637.8220726</v>
      </c>
      <c r="BC23" s="3">
        <f t="shared" si="74"/>
        <v>1914.5482785000002</v>
      </c>
      <c r="BD23" s="3">
        <f t="shared" si="74"/>
        <v>1758.5480484000004</v>
      </c>
      <c r="BE23" s="37">
        <f>SUM(AS23:BD23)</f>
        <v>25933.2655242375</v>
      </c>
      <c r="BF23" s="3">
        <f>BF12*$B$23</f>
        <v>1440.2508516396001</v>
      </c>
      <c r="BG23" s="3">
        <f t="shared" ref="BG23:BQ23" si="75">BG12*$B$23</f>
        <v>1531.2344403856505</v>
      </c>
      <c r="BH23" s="3">
        <f t="shared" si="75"/>
        <v>2160.3762774594002</v>
      </c>
      <c r="BI23" s="3">
        <f t="shared" si="75"/>
        <v>2555.2837690380006</v>
      </c>
      <c r="BJ23" s="3">
        <f t="shared" si="75"/>
        <v>2880.5017032792002</v>
      </c>
      <c r="BK23" s="3">
        <f t="shared" si="75"/>
        <v>2555.2837690380006</v>
      </c>
      <c r="BL23" s="3">
        <f t="shared" si="75"/>
        <v>2400.4180860659999</v>
      </c>
      <c r="BM23" s="3">
        <f t="shared" si="75"/>
        <v>3000.5226075825012</v>
      </c>
      <c r="BN23" s="3">
        <f t="shared" si="75"/>
        <v>2903.7315557250004</v>
      </c>
      <c r="BO23" s="3">
        <f t="shared" si="75"/>
        <v>2880.5017032792002</v>
      </c>
      <c r="BP23" s="3">
        <f t="shared" si="75"/>
        <v>2090.6867201220002</v>
      </c>
      <c r="BQ23" s="3">
        <f t="shared" si="75"/>
        <v>1920.3344688528007</v>
      </c>
      <c r="BR23" s="37">
        <f>SUM(BF23:BQ23)</f>
        <v>28319.125952467351</v>
      </c>
      <c r="BS23" s="37"/>
    </row>
    <row r="24" spans="1:71" ht="14.5">
      <c r="A24" s="2"/>
      <c r="B24" s="332">
        <v>0.75</v>
      </c>
      <c r="C24" s="2" t="s">
        <v>37</v>
      </c>
      <c r="D24" s="2"/>
      <c r="E24" s="2"/>
      <c r="F24" s="3">
        <f>F13*$B$24</f>
        <v>250.71876642857143</v>
      </c>
      <c r="G24" s="3">
        <f t="shared" ref="G24:Q24" si="76">G13*$B$24</f>
        <v>266.55718312499994</v>
      </c>
      <c r="H24" s="3">
        <f t="shared" si="76"/>
        <v>376.07814964285717</v>
      </c>
      <c r="I24" s="3">
        <f t="shared" si="76"/>
        <v>444.82361785714289</v>
      </c>
      <c r="J24" s="3">
        <f t="shared" si="76"/>
        <v>501.43753285714286</v>
      </c>
      <c r="K24" s="3">
        <f t="shared" si="76"/>
        <v>444.82361785714289</v>
      </c>
      <c r="L24" s="3">
        <f t="shared" si="76"/>
        <v>417.86461071428562</v>
      </c>
      <c r="M24" s="3">
        <f t="shared" si="76"/>
        <v>522.33076339285708</v>
      </c>
      <c r="N24" s="3">
        <f t="shared" si="76"/>
        <v>505.48138392857129</v>
      </c>
      <c r="O24" s="3">
        <f t="shared" si="76"/>
        <v>501.43753285714286</v>
      </c>
      <c r="P24" s="3">
        <f t="shared" si="76"/>
        <v>363.94659642857152</v>
      </c>
      <c r="Q24" s="3">
        <f t="shared" si="76"/>
        <v>334.29168857142866</v>
      </c>
      <c r="R24" s="37">
        <f t="shared" si="65"/>
        <v>4929.7914436607143</v>
      </c>
      <c r="S24" s="3">
        <f>S13*$B$24</f>
        <v>288.32658139285718</v>
      </c>
      <c r="T24" s="3">
        <f t="shared" ref="T24:AD24" si="77">T13*$B$24</f>
        <v>306.54076059374995</v>
      </c>
      <c r="U24" s="3">
        <f t="shared" si="77"/>
        <v>432.48987208928577</v>
      </c>
      <c r="V24" s="3">
        <f t="shared" si="77"/>
        <v>511.54716053571428</v>
      </c>
      <c r="W24" s="3">
        <f t="shared" si="77"/>
        <v>576.65316278571436</v>
      </c>
      <c r="X24" s="3">
        <f t="shared" si="77"/>
        <v>511.54716053571428</v>
      </c>
      <c r="Y24" s="3">
        <f t="shared" si="77"/>
        <v>480.54430232142852</v>
      </c>
      <c r="Z24" s="3">
        <f t="shared" si="77"/>
        <v>600.68037790178573</v>
      </c>
      <c r="AA24" s="3">
        <f t="shared" si="77"/>
        <v>581.30359151785717</v>
      </c>
      <c r="AB24" s="3">
        <f t="shared" si="77"/>
        <v>576.65316278571436</v>
      </c>
      <c r="AC24" s="3">
        <f t="shared" si="77"/>
        <v>418.53858589285721</v>
      </c>
      <c r="AD24" s="3">
        <f t="shared" si="77"/>
        <v>384.43544185714279</v>
      </c>
      <c r="AE24" s="37">
        <f t="shared" ref="AE24" si="78">SUM(S24:AD24)</f>
        <v>5669.2601602098221</v>
      </c>
      <c r="AF24" s="3">
        <f>AF13*$B$24</f>
        <v>329.84560911342857</v>
      </c>
      <c r="AG24" s="3">
        <f t="shared" ref="AG24:AQ24" si="79">AG13*$B$24</f>
        <v>350.68263011925001</v>
      </c>
      <c r="AH24" s="3">
        <f t="shared" si="79"/>
        <v>494.76841367014299</v>
      </c>
      <c r="AI24" s="3">
        <f t="shared" si="79"/>
        <v>585.20995165285728</v>
      </c>
      <c r="AJ24" s="3">
        <f t="shared" si="79"/>
        <v>659.69121822685713</v>
      </c>
      <c r="AK24" s="3">
        <f t="shared" si="79"/>
        <v>585.20995165285728</v>
      </c>
      <c r="AL24" s="3">
        <f t="shared" si="79"/>
        <v>549.7426818557143</v>
      </c>
      <c r="AM24" s="3">
        <f t="shared" si="79"/>
        <v>687.17835231964295</v>
      </c>
      <c r="AN24" s="3">
        <f t="shared" si="79"/>
        <v>665.0113086964285</v>
      </c>
      <c r="AO24" s="3">
        <f t="shared" si="79"/>
        <v>659.69121822685713</v>
      </c>
      <c r="AP24" s="3">
        <f t="shared" si="79"/>
        <v>478.80814226142849</v>
      </c>
      <c r="AQ24" s="3">
        <f t="shared" si="79"/>
        <v>439.79414548457157</v>
      </c>
      <c r="AR24" s="37">
        <f t="shared" ref="AR24" si="80">SUM(AF24:AQ24)</f>
        <v>6485.6336232800359</v>
      </c>
      <c r="AS24" s="3">
        <f>AS13*$B$24</f>
        <v>346.33788956910007</v>
      </c>
      <c r="AT24" s="3">
        <f t="shared" ref="AT24:BD24" si="81">AT13*$B$24</f>
        <v>368.21676162521254</v>
      </c>
      <c r="AU24" s="3">
        <f t="shared" si="81"/>
        <v>519.50683435364999</v>
      </c>
      <c r="AV24" s="3">
        <f t="shared" si="81"/>
        <v>614.47044923550015</v>
      </c>
      <c r="AW24" s="3">
        <f t="shared" si="81"/>
        <v>692.67577913820014</v>
      </c>
      <c r="AX24" s="3">
        <f t="shared" si="81"/>
        <v>614.47044923550015</v>
      </c>
      <c r="AY24" s="3">
        <f t="shared" si="81"/>
        <v>577.22981594850012</v>
      </c>
      <c r="AZ24" s="3">
        <f t="shared" si="81"/>
        <v>721.5372699356252</v>
      </c>
      <c r="BA24" s="3">
        <f t="shared" si="81"/>
        <v>698.26187413125012</v>
      </c>
      <c r="BB24" s="3">
        <f t="shared" si="81"/>
        <v>692.67577913820014</v>
      </c>
      <c r="BC24" s="3">
        <f t="shared" si="81"/>
        <v>502.74854937450016</v>
      </c>
      <c r="BD24" s="3">
        <f t="shared" si="81"/>
        <v>461.78385275880009</v>
      </c>
      <c r="BE24" s="37">
        <f t="shared" ref="BE24" si="82">SUM(AS24:BD24)</f>
        <v>6809.9153044440372</v>
      </c>
      <c r="BF24" s="3">
        <f>BF13*$B$24</f>
        <v>378.20097540945727</v>
      </c>
      <c r="BG24" s="3">
        <f t="shared" ref="BG24:BQ24" si="83">BG13*$B$24</f>
        <v>402.09270369473217</v>
      </c>
      <c r="BH24" s="3">
        <f t="shared" si="83"/>
        <v>567.30146311418594</v>
      </c>
      <c r="BI24" s="3">
        <f t="shared" si="83"/>
        <v>671.00173056516633</v>
      </c>
      <c r="BJ24" s="3">
        <f t="shared" si="83"/>
        <v>756.40195081891454</v>
      </c>
      <c r="BK24" s="3">
        <f t="shared" si="83"/>
        <v>671.00173056516633</v>
      </c>
      <c r="BL24" s="3">
        <f t="shared" si="83"/>
        <v>630.33495901576214</v>
      </c>
      <c r="BM24" s="3">
        <f t="shared" si="83"/>
        <v>787.91869876970259</v>
      </c>
      <c r="BN24" s="3">
        <f t="shared" si="83"/>
        <v>762.50196655132515</v>
      </c>
      <c r="BO24" s="3">
        <f t="shared" si="83"/>
        <v>756.40195081891454</v>
      </c>
      <c r="BP24" s="3">
        <f t="shared" si="83"/>
        <v>549.0014159169541</v>
      </c>
      <c r="BQ24" s="3">
        <f t="shared" si="83"/>
        <v>504.26796721260973</v>
      </c>
      <c r="BR24" s="37">
        <f t="shared" ref="BR24" si="84">SUM(BF24:BQ24)</f>
        <v>7436.4275124528913</v>
      </c>
      <c r="BS24" s="37">
        <f>R24+AE24+AR24+BE24+BR24</f>
        <v>31331.0280440475</v>
      </c>
    </row>
    <row r="25" spans="1:71" ht="14.5">
      <c r="A25" s="2"/>
      <c r="B25" s="2"/>
      <c r="C25" s="21" t="s">
        <v>552</v>
      </c>
      <c r="D25" s="2"/>
      <c r="E25" s="2"/>
      <c r="F25" s="3">
        <f>Labor!H31</f>
        <v>6250</v>
      </c>
      <c r="G25" s="3">
        <f>Labor!I31</f>
        <v>6250</v>
      </c>
      <c r="H25" s="3">
        <f>Labor!J31</f>
        <v>6250</v>
      </c>
      <c r="I25" s="3">
        <f>Labor!K31</f>
        <v>6250</v>
      </c>
      <c r="J25" s="3">
        <f>Labor!L31</f>
        <v>6250</v>
      </c>
      <c r="K25" s="3">
        <f>Labor!M31</f>
        <v>6250</v>
      </c>
      <c r="L25" s="3">
        <f>Labor!N31</f>
        <v>6250</v>
      </c>
      <c r="M25" s="3">
        <f>Labor!O31</f>
        <v>6250</v>
      </c>
      <c r="N25" s="3">
        <f>Labor!P31</f>
        <v>6250</v>
      </c>
      <c r="O25" s="3">
        <f>Labor!Q31</f>
        <v>6250</v>
      </c>
      <c r="P25" s="3">
        <f>Labor!R31</f>
        <v>6250</v>
      </c>
      <c r="Q25" s="3">
        <f>Labor!S31</f>
        <v>6250</v>
      </c>
      <c r="R25" s="37">
        <f t="shared" si="65"/>
        <v>75000</v>
      </c>
      <c r="S25" s="3">
        <f>Labor!U31</f>
        <v>6250</v>
      </c>
      <c r="T25" s="3">
        <f>Labor!V31</f>
        <v>6250</v>
      </c>
      <c r="U25" s="3">
        <f>Labor!W31</f>
        <v>6250</v>
      </c>
      <c r="V25" s="3">
        <f>Labor!X31</f>
        <v>6250</v>
      </c>
      <c r="W25" s="3">
        <f>Labor!Y31</f>
        <v>6250</v>
      </c>
      <c r="X25" s="3">
        <f>Labor!Z31</f>
        <v>6250</v>
      </c>
      <c r="Y25" s="3">
        <f>Labor!AA31</f>
        <v>6250</v>
      </c>
      <c r="Z25" s="3">
        <f>Labor!AB31</f>
        <v>6250</v>
      </c>
      <c r="AA25" s="3">
        <f>Labor!AC31</f>
        <v>6250</v>
      </c>
      <c r="AB25" s="3">
        <f>Labor!AD31</f>
        <v>6250</v>
      </c>
      <c r="AC25" s="3">
        <f>Labor!AE31</f>
        <v>6250</v>
      </c>
      <c r="AD25" s="3">
        <f>Labor!AF31</f>
        <v>6250</v>
      </c>
      <c r="AE25" s="37">
        <f>SUM(S25:AD25)</f>
        <v>75000</v>
      </c>
      <c r="AF25" s="3">
        <f>Labor!AH31</f>
        <v>8594</v>
      </c>
      <c r="AG25" s="3">
        <f>Labor!AI31</f>
        <v>8594</v>
      </c>
      <c r="AH25" s="3">
        <f>Labor!AJ31</f>
        <v>8594</v>
      </c>
      <c r="AI25" s="3">
        <f>Labor!AK31</f>
        <v>8594</v>
      </c>
      <c r="AJ25" s="3">
        <f>Labor!AL31</f>
        <v>8594</v>
      </c>
      <c r="AK25" s="3">
        <f>Labor!AM31</f>
        <v>8594</v>
      </c>
      <c r="AL25" s="3">
        <f>Labor!AN31</f>
        <v>8594</v>
      </c>
      <c r="AM25" s="3">
        <f>Labor!AO31</f>
        <v>8594</v>
      </c>
      <c r="AN25" s="3">
        <f>Labor!AP31</f>
        <v>8594</v>
      </c>
      <c r="AO25" s="3">
        <f>Labor!AQ31</f>
        <v>8594</v>
      </c>
      <c r="AP25" s="3">
        <f>Labor!AR31</f>
        <v>8594</v>
      </c>
      <c r="AQ25" s="3">
        <f>Labor!AS31</f>
        <v>8594</v>
      </c>
      <c r="AR25" s="37">
        <f>SUM(AF25:AQ25)</f>
        <v>103128</v>
      </c>
      <c r="AS25" s="3">
        <f>Labor!AU31</f>
        <v>8594</v>
      </c>
      <c r="AT25" s="3">
        <f>Labor!AV31</f>
        <v>8594</v>
      </c>
      <c r="AU25" s="3">
        <f>Labor!AW31</f>
        <v>8594</v>
      </c>
      <c r="AV25" s="3">
        <f>Labor!AX31</f>
        <v>8594</v>
      </c>
      <c r="AW25" s="3">
        <f>Labor!AY31</f>
        <v>8594</v>
      </c>
      <c r="AX25" s="3">
        <f>Labor!AZ31</f>
        <v>8594</v>
      </c>
      <c r="AY25" s="3">
        <f>Labor!BA31</f>
        <v>8594</v>
      </c>
      <c r="AZ25" s="3">
        <f>Labor!BB31</f>
        <v>8594</v>
      </c>
      <c r="BA25" s="3">
        <f>Labor!BC31</f>
        <v>8594</v>
      </c>
      <c r="BB25" s="3">
        <f>Labor!BD31</f>
        <v>8594</v>
      </c>
      <c r="BC25" s="3">
        <f>Labor!BE31</f>
        <v>8594</v>
      </c>
      <c r="BD25" s="3">
        <f>Labor!BF31</f>
        <v>8594</v>
      </c>
      <c r="BE25" s="37">
        <f>SUM(AS25:BD25)</f>
        <v>103128</v>
      </c>
      <c r="BF25" s="3">
        <f>Labor!BH31</f>
        <v>9297</v>
      </c>
      <c r="BG25" s="3">
        <f>Labor!BI31</f>
        <v>9297</v>
      </c>
      <c r="BH25" s="3">
        <f>Labor!BJ31</f>
        <v>9297</v>
      </c>
      <c r="BI25" s="3">
        <f>Labor!BK31</f>
        <v>9297</v>
      </c>
      <c r="BJ25" s="3">
        <f>Labor!BL31</f>
        <v>9297</v>
      </c>
      <c r="BK25" s="3">
        <f>Labor!BM31</f>
        <v>9297</v>
      </c>
      <c r="BL25" s="3">
        <f>Labor!BN31</f>
        <v>9297</v>
      </c>
      <c r="BM25" s="3">
        <f>Labor!BO31</f>
        <v>9297</v>
      </c>
      <c r="BN25" s="3">
        <f>Labor!BP31</f>
        <v>9297</v>
      </c>
      <c r="BO25" s="3">
        <f>Labor!BQ31</f>
        <v>9297</v>
      </c>
      <c r="BP25" s="3">
        <f>Labor!BR31</f>
        <v>9297</v>
      </c>
      <c r="BQ25" s="3">
        <f>Labor!BS31</f>
        <v>9297</v>
      </c>
      <c r="BR25" s="37">
        <f>SUM(BF25:BQ25)</f>
        <v>111564</v>
      </c>
      <c r="BS25" s="37"/>
    </row>
    <row r="26" spans="1:71" ht="14.5">
      <c r="A26" s="2"/>
      <c r="B26" s="2"/>
      <c r="C26" s="21" t="s">
        <v>554</v>
      </c>
      <c r="D26" s="2"/>
      <c r="E26" s="2"/>
      <c r="F26" s="3">
        <f>Labor!H45+Labor!H59</f>
        <v>10676</v>
      </c>
      <c r="G26" s="3">
        <f>Labor!I45+Labor!I59</f>
        <v>10676</v>
      </c>
      <c r="H26" s="3">
        <f>Labor!J45+Labor!J59</f>
        <v>10676</v>
      </c>
      <c r="I26" s="3">
        <f>Labor!K45+Labor!K59</f>
        <v>10676</v>
      </c>
      <c r="J26" s="3">
        <f>Labor!L45+Labor!L59</f>
        <v>10676</v>
      </c>
      <c r="K26" s="3">
        <f>Labor!M45+Labor!M59</f>
        <v>10676</v>
      </c>
      <c r="L26" s="3">
        <f>Labor!N45+Labor!N59</f>
        <v>10676</v>
      </c>
      <c r="M26" s="3">
        <f>Labor!O45+Labor!O59</f>
        <v>10676</v>
      </c>
      <c r="N26" s="3">
        <f>Labor!P45+Labor!P59</f>
        <v>10676</v>
      </c>
      <c r="O26" s="3">
        <f>Labor!Q45+Labor!Q59</f>
        <v>10676</v>
      </c>
      <c r="P26" s="3">
        <f>Labor!R45+Labor!R59</f>
        <v>10676</v>
      </c>
      <c r="Q26" s="3">
        <f>Labor!S45+Labor!S59</f>
        <v>10676</v>
      </c>
      <c r="R26" s="37">
        <f t="shared" si="65"/>
        <v>128112</v>
      </c>
      <c r="S26" s="3">
        <f>Labor!U45+Labor!U59</f>
        <v>12343</v>
      </c>
      <c r="T26" s="3">
        <f>Labor!V45+Labor!V59</f>
        <v>12343</v>
      </c>
      <c r="U26" s="3">
        <f>Labor!W45+Labor!W59</f>
        <v>12343</v>
      </c>
      <c r="V26" s="3">
        <f>Labor!X45+Labor!X59</f>
        <v>12343</v>
      </c>
      <c r="W26" s="3">
        <f>Labor!Y45+Labor!Y59</f>
        <v>12343</v>
      </c>
      <c r="X26" s="3">
        <f>Labor!Z45+Labor!Z59</f>
        <v>12343</v>
      </c>
      <c r="Y26" s="3">
        <f>Labor!AA45+Labor!AA59</f>
        <v>12343</v>
      </c>
      <c r="Z26" s="3">
        <f>Labor!AB45+Labor!AB59</f>
        <v>12343</v>
      </c>
      <c r="AA26" s="3">
        <f>Labor!AC45+Labor!AC59</f>
        <v>12343</v>
      </c>
      <c r="AB26" s="3">
        <f>Labor!AD45+Labor!AD59</f>
        <v>12343</v>
      </c>
      <c r="AC26" s="3">
        <f>Labor!AE45+Labor!AE59</f>
        <v>12343</v>
      </c>
      <c r="AD26" s="3">
        <f>Labor!AF45+Labor!AF59</f>
        <v>12343</v>
      </c>
      <c r="AE26" s="37">
        <f>SUM(S26:AD26)</f>
        <v>148116</v>
      </c>
      <c r="AF26" s="3">
        <f>Labor!AH45+Labor!AH59</f>
        <v>14010</v>
      </c>
      <c r="AG26" s="3">
        <f>Labor!AI45+Labor!AI59</f>
        <v>14010</v>
      </c>
      <c r="AH26" s="3">
        <f>Labor!AJ45+Labor!AJ59</f>
        <v>14010</v>
      </c>
      <c r="AI26" s="3">
        <f>Labor!AK45+Labor!AK59</f>
        <v>14010</v>
      </c>
      <c r="AJ26" s="3">
        <f>Labor!AL45+Labor!AL59</f>
        <v>14010</v>
      </c>
      <c r="AK26" s="3">
        <f>Labor!AM45+Labor!AM59</f>
        <v>14010</v>
      </c>
      <c r="AL26" s="3">
        <f>Labor!AN45+Labor!AN59</f>
        <v>14010</v>
      </c>
      <c r="AM26" s="3">
        <f>Labor!AO45+Labor!AO59</f>
        <v>14010</v>
      </c>
      <c r="AN26" s="3">
        <f>Labor!AP45+Labor!AP59</f>
        <v>14010</v>
      </c>
      <c r="AO26" s="3">
        <f>Labor!AQ45+Labor!AQ59</f>
        <v>14010</v>
      </c>
      <c r="AP26" s="3">
        <f>Labor!AR45+Labor!AR59</f>
        <v>14010</v>
      </c>
      <c r="AQ26" s="3">
        <f>Labor!AS45+Labor!AS59</f>
        <v>14010</v>
      </c>
      <c r="AR26" s="37">
        <f>SUM(AF26:AQ26)</f>
        <v>168120</v>
      </c>
      <c r="AS26" s="3">
        <f>Labor!AU45+Labor!AU59</f>
        <v>15331</v>
      </c>
      <c r="AT26" s="3">
        <f>Labor!AV45+Labor!AV59</f>
        <v>15331</v>
      </c>
      <c r="AU26" s="3">
        <f>Labor!AW45+Labor!AW59</f>
        <v>15331</v>
      </c>
      <c r="AV26" s="3">
        <f>Labor!AX45+Labor!AX59</f>
        <v>15331</v>
      </c>
      <c r="AW26" s="3">
        <f>Labor!AY45+Labor!AY59</f>
        <v>15331</v>
      </c>
      <c r="AX26" s="3">
        <f>Labor!AZ45+Labor!AZ59</f>
        <v>15331</v>
      </c>
      <c r="AY26" s="3">
        <f>Labor!BA45+Labor!BA59</f>
        <v>15331</v>
      </c>
      <c r="AZ26" s="3">
        <f>Labor!BB45+Labor!BB59</f>
        <v>15331</v>
      </c>
      <c r="BA26" s="3">
        <f>Labor!BC45+Labor!BC59</f>
        <v>15331</v>
      </c>
      <c r="BB26" s="3">
        <f>Labor!BD45+Labor!BD59</f>
        <v>15331</v>
      </c>
      <c r="BC26" s="3">
        <f>Labor!BE45+Labor!BE59</f>
        <v>15331</v>
      </c>
      <c r="BD26" s="3">
        <f>Labor!BF45+Labor!BF59</f>
        <v>15331</v>
      </c>
      <c r="BE26" s="37">
        <f>SUM(AS26:BD26)</f>
        <v>183972</v>
      </c>
      <c r="BF26" s="3">
        <f>Labor!BH45+Labor!BH59</f>
        <v>15677</v>
      </c>
      <c r="BG26" s="3">
        <f>Labor!BI45+Labor!BI59</f>
        <v>15677</v>
      </c>
      <c r="BH26" s="3">
        <f>Labor!BJ45+Labor!BJ59</f>
        <v>15677</v>
      </c>
      <c r="BI26" s="3">
        <f>Labor!BK45+Labor!BK59</f>
        <v>15677</v>
      </c>
      <c r="BJ26" s="3">
        <f>Labor!BL45+Labor!BL59</f>
        <v>15677</v>
      </c>
      <c r="BK26" s="3">
        <f>Labor!BM45+Labor!BM59</f>
        <v>15677</v>
      </c>
      <c r="BL26" s="3">
        <f>Labor!BN45+Labor!BN59</f>
        <v>15677</v>
      </c>
      <c r="BM26" s="3">
        <f>Labor!BO45+Labor!BO59</f>
        <v>15677</v>
      </c>
      <c r="BN26" s="3">
        <f>Labor!BP45+Labor!BP59</f>
        <v>15677</v>
      </c>
      <c r="BO26" s="3">
        <f>Labor!BQ45+Labor!BQ59</f>
        <v>15677</v>
      </c>
      <c r="BP26" s="3">
        <f>Labor!BR45+Labor!BR59</f>
        <v>15677</v>
      </c>
      <c r="BQ26" s="3">
        <f>Labor!BS45+Labor!BS59</f>
        <v>15677</v>
      </c>
      <c r="BR26" s="37">
        <f>SUM(BF26:BQ26)</f>
        <v>188124</v>
      </c>
      <c r="BS26" s="37"/>
    </row>
    <row r="27" spans="1:71" ht="14.5">
      <c r="A27" s="2"/>
      <c r="B27" s="2"/>
      <c r="C27" s="2"/>
      <c r="D27" s="2"/>
      <c r="E27" s="1" t="s">
        <v>547</v>
      </c>
      <c r="F27" s="41">
        <f>SUM(F19:F26)</f>
        <v>21993.772254077379</v>
      </c>
      <c r="G27" s="41">
        <f t="shared" ref="G27:Q27" si="85">SUM(G19:G26)</f>
        <v>22313.913780880655</v>
      </c>
      <c r="H27" s="41">
        <f t="shared" si="85"/>
        <v>24527.658381116067</v>
      </c>
      <c r="I27" s="41">
        <f t="shared" si="85"/>
        <v>25917.208837879225</v>
      </c>
      <c r="J27" s="41">
        <f t="shared" si="85"/>
        <v>27061.544508154759</v>
      </c>
      <c r="K27" s="41">
        <f t="shared" si="85"/>
        <v>25917.208837879225</v>
      </c>
      <c r="L27" s="41">
        <f t="shared" si="85"/>
        <v>25372.287090128964</v>
      </c>
      <c r="M27" s="41">
        <f t="shared" si="85"/>
        <v>27483.858862661207</v>
      </c>
      <c r="N27" s="41">
        <f t="shared" si="85"/>
        <v>27143.282770317295</v>
      </c>
      <c r="O27" s="41">
        <f t="shared" si="85"/>
        <v>27061.544508154759</v>
      </c>
      <c r="P27" s="41">
        <f t="shared" si="85"/>
        <v>24282.443594628458</v>
      </c>
      <c r="Q27" s="41">
        <f t="shared" si="85"/>
        <v>23683.029672103174</v>
      </c>
      <c r="R27" s="41">
        <f>SUM(R19:R26)</f>
        <v>302757.75309798116</v>
      </c>
      <c r="S27" s="41">
        <f>SUM(S19:S26)</f>
        <v>24459.717831690621</v>
      </c>
      <c r="T27" s="41">
        <f t="shared" ref="T27:BR27" si="86">SUM(T19:T26)</f>
        <v>24830.330382886132</v>
      </c>
      <c r="U27" s="41">
        <f t="shared" si="86"/>
        <v>27393.076747535932</v>
      </c>
      <c r="V27" s="41">
        <f t="shared" si="86"/>
        <v>29001.692927193042</v>
      </c>
      <c r="W27" s="41">
        <f t="shared" si="86"/>
        <v>30326.435663381246</v>
      </c>
      <c r="X27" s="41">
        <f t="shared" si="86"/>
        <v>29001.692927193042</v>
      </c>
      <c r="Y27" s="41">
        <f t="shared" si="86"/>
        <v>28370.863052817702</v>
      </c>
      <c r="Z27" s="41">
        <f t="shared" si="86"/>
        <v>30815.328816022135</v>
      </c>
      <c r="AA27" s="41">
        <f t="shared" si="86"/>
        <v>30421.060144537543</v>
      </c>
      <c r="AB27" s="41">
        <f t="shared" si="86"/>
        <v>30326.435663381246</v>
      </c>
      <c r="AC27" s="41">
        <f t="shared" si="86"/>
        <v>27109.203304067032</v>
      </c>
      <c r="AD27" s="41">
        <f t="shared" si="86"/>
        <v>26415.290442254165</v>
      </c>
      <c r="AE27" s="41">
        <f t="shared" si="86"/>
        <v>338471.12790295982</v>
      </c>
      <c r="AF27" s="41">
        <f t="shared" si="86"/>
        <v>29272.014331733233</v>
      </c>
      <c r="AG27" s="41">
        <f t="shared" si="86"/>
        <v>29693.246419893803</v>
      </c>
      <c r="AH27" s="41">
        <f t="shared" si="86"/>
        <v>32606.021497599853</v>
      </c>
      <c r="AI27" s="41">
        <f t="shared" si="86"/>
        <v>34434.34800791381</v>
      </c>
      <c r="AJ27" s="41">
        <f t="shared" si="86"/>
        <v>35940.028663466466</v>
      </c>
      <c r="AK27" s="41">
        <f t="shared" si="86"/>
        <v>34434.34800791381</v>
      </c>
      <c r="AL27" s="41">
        <f t="shared" si="86"/>
        <v>33717.357219555393</v>
      </c>
      <c r="AM27" s="41">
        <f t="shared" si="86"/>
        <v>36495.69652444424</v>
      </c>
      <c r="AN27" s="41">
        <f t="shared" si="86"/>
        <v>36047.577281720238</v>
      </c>
      <c r="AO27" s="41">
        <f t="shared" si="86"/>
        <v>35940.028663466466</v>
      </c>
      <c r="AP27" s="41">
        <f t="shared" si="86"/>
        <v>32283.375642838568</v>
      </c>
      <c r="AQ27" s="41">
        <f t="shared" si="86"/>
        <v>31494.685775644317</v>
      </c>
      <c r="AR27" s="41">
        <f t="shared" si="86"/>
        <v>402358.72803619021</v>
      </c>
      <c r="AS27" s="41">
        <f t="shared" si="86"/>
        <v>30973.015187648914</v>
      </c>
      <c r="AT27" s="41">
        <f t="shared" si="86"/>
        <v>31418.252706223509</v>
      </c>
      <c r="AU27" s="41">
        <f t="shared" si="86"/>
        <v>34497.022781473373</v>
      </c>
      <c r="AV27" s="41">
        <f t="shared" si="86"/>
        <v>36429.54307486098</v>
      </c>
      <c r="AW27" s="41">
        <f t="shared" si="86"/>
        <v>38021.030375297829</v>
      </c>
      <c r="AX27" s="41">
        <f t="shared" si="86"/>
        <v>36429.54307486098</v>
      </c>
      <c r="AY27" s="41">
        <f t="shared" si="86"/>
        <v>35671.691979414856</v>
      </c>
      <c r="AZ27" s="41">
        <f t="shared" si="86"/>
        <v>38608.364974268574</v>
      </c>
      <c r="BA27" s="41">
        <f t="shared" si="86"/>
        <v>38134.70803961475</v>
      </c>
      <c r="BB27" s="41">
        <f t="shared" si="86"/>
        <v>38021.030375297829</v>
      </c>
      <c r="BC27" s="41">
        <f t="shared" si="86"/>
        <v>34155.989788522616</v>
      </c>
      <c r="BD27" s="41">
        <f t="shared" si="86"/>
        <v>33322.353583531891</v>
      </c>
      <c r="BE27" s="41">
        <f t="shared" si="86"/>
        <v>425682.54594101605</v>
      </c>
      <c r="BF27" s="41">
        <f t="shared" si="86"/>
        <v>32620.523835691238</v>
      </c>
      <c r="BG27" s="41">
        <f t="shared" si="86"/>
        <v>33103.570368322267</v>
      </c>
      <c r="BH27" s="41">
        <f t="shared" si="86"/>
        <v>36443.785753536853</v>
      </c>
      <c r="BI27" s="41">
        <f t="shared" si="86"/>
        <v>38540.413256871558</v>
      </c>
      <c r="BJ27" s="41">
        <f t="shared" si="86"/>
        <v>40267.047671382476</v>
      </c>
      <c r="BK27" s="41">
        <f t="shared" si="86"/>
        <v>38540.413256871558</v>
      </c>
      <c r="BL27" s="41">
        <f t="shared" si="86"/>
        <v>37718.206392818727</v>
      </c>
      <c r="BM27" s="41">
        <f t="shared" si="86"/>
        <v>40904.25799102342</v>
      </c>
      <c r="BN27" s="41">
        <f t="shared" si="86"/>
        <v>40390.378700990404</v>
      </c>
      <c r="BO27" s="41">
        <f t="shared" si="86"/>
        <v>40267.047671382476</v>
      </c>
      <c r="BP27" s="41">
        <f t="shared" si="86"/>
        <v>36073.792664713095</v>
      </c>
      <c r="BQ27" s="41">
        <f t="shared" si="86"/>
        <v>35169.365114254986</v>
      </c>
      <c r="BR27" s="41">
        <f t="shared" si="86"/>
        <v>450038.80267785903</v>
      </c>
      <c r="BS27" s="41">
        <f>SUM(BS19:BS24)</f>
        <v>42686.117399839663</v>
      </c>
    </row>
    <row r="28" spans="1:71" ht="14.5">
      <c r="A28" s="2"/>
      <c r="B28" s="2"/>
      <c r="C28" s="2"/>
      <c r="D28" s="2"/>
      <c r="E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7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7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7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7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7"/>
      <c r="BS28" s="37"/>
    </row>
    <row r="29" spans="1:71" ht="14.5" hidden="1">
      <c r="A29" s="2"/>
      <c r="B29" s="2"/>
      <c r="C29" s="2"/>
      <c r="D29" s="2"/>
      <c r="E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 t="s">
        <v>657</v>
      </c>
      <c r="R29" s="366">
        <f t="shared" ref="R29:R34" si="87">R19/R8</f>
        <v>0.12991328603480684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66">
        <f t="shared" ref="AE29:AE34" si="88">AE19/AE8</f>
        <v>0.132511551755503</v>
      </c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66">
        <f t="shared" ref="AR29:AR34" si="89">AR19/AR8</f>
        <v>0.12996325268328179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66">
        <f t="shared" ref="BE29:BE34" si="90">BE19/BE8</f>
        <v>0.13256251773694738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66">
        <f t="shared" ref="BQ29:BQ34" si="91">BQ19/BQ8</f>
        <v>0.13001323854969846</v>
      </c>
      <c r="BR29" s="37"/>
      <c r="BS29" s="37"/>
    </row>
    <row r="30" spans="1:71" ht="14.5" hidden="1">
      <c r="A30" s="2"/>
      <c r="B30" s="2"/>
      <c r="C30" s="2"/>
      <c r="D30" s="2"/>
      <c r="E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 t="s">
        <v>658</v>
      </c>
      <c r="R30" s="366">
        <f t="shared" si="87"/>
        <v>5.7343669994879679E-2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66">
        <f t="shared" si="88"/>
        <v>5.8490543394777265E-2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66">
        <f t="shared" si="89"/>
        <v>5.7365725252569999E-2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66">
        <f t="shared" si="90"/>
        <v>5.8513039757621434E-2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66">
        <f t="shared" si="91"/>
        <v>5.7387788993051775E-2</v>
      </c>
      <c r="BR30" s="37"/>
      <c r="BS30" s="37"/>
    </row>
    <row r="31" spans="1:71" ht="14.5" hidden="1">
      <c r="A31" s="2"/>
      <c r="B31" s="2"/>
      <c r="C31" s="2"/>
      <c r="D31" s="2"/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 t="s">
        <v>548</v>
      </c>
      <c r="R31" s="366">
        <f t="shared" si="87"/>
        <v>0.29420338834975907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66">
        <f t="shared" si="88"/>
        <v>0.30008745611675425</v>
      </c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66">
        <f t="shared" si="89"/>
        <v>0.29431654349912439</v>
      </c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66">
        <f t="shared" si="90"/>
        <v>0.30020287436910686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66">
        <f t="shared" si="91"/>
        <v>0.29442974216970091</v>
      </c>
      <c r="BR31" s="37"/>
      <c r="BS31" s="37"/>
    </row>
    <row r="32" spans="1:71" ht="14.5" hidden="1">
      <c r="A32" s="2"/>
      <c r="B32" s="2"/>
      <c r="C32" s="2"/>
      <c r="D32" s="2"/>
      <c r="E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 t="s">
        <v>549</v>
      </c>
      <c r="R32" s="366">
        <f t="shared" si="87"/>
        <v>0.3</v>
      </c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66">
        <f t="shared" si="88"/>
        <v>0.3</v>
      </c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66">
        <f t="shared" si="89"/>
        <v>0.3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66">
        <f t="shared" si="90"/>
        <v>0.3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66">
        <f t="shared" si="91"/>
        <v>0.3</v>
      </c>
      <c r="BR32" s="37"/>
      <c r="BS32" s="37"/>
    </row>
    <row r="33" spans="1:71" ht="14.5" hidden="1">
      <c r="A33" s="2"/>
      <c r="B33" s="2"/>
      <c r="C33" s="2"/>
      <c r="D33" s="2"/>
      <c r="E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 t="s">
        <v>551</v>
      </c>
      <c r="R33" s="366">
        <f t="shared" si="87"/>
        <v>0.25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66">
        <f t="shared" si="88"/>
        <v>0.25</v>
      </c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66">
        <f t="shared" si="89"/>
        <v>0.25</v>
      </c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66">
        <f t="shared" si="90"/>
        <v>0.25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66">
        <f t="shared" si="91"/>
        <v>0.25</v>
      </c>
      <c r="BR33" s="37"/>
      <c r="BS33" s="37"/>
    </row>
    <row r="34" spans="1:71" ht="14.5" hidden="1">
      <c r="A34" s="2"/>
      <c r="B34" s="2"/>
      <c r="C34" s="2"/>
      <c r="D34" s="2"/>
      <c r="E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 t="s">
        <v>659</v>
      </c>
      <c r="R34" s="366">
        <f t="shared" si="87"/>
        <v>0.75000000000000011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66">
        <f t="shared" si="88"/>
        <v>0.74999999999999989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66">
        <f t="shared" si="89"/>
        <v>0.75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66">
        <f t="shared" si="90"/>
        <v>0.75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66">
        <f t="shared" si="91"/>
        <v>0.75</v>
      </c>
      <c r="BR34" s="37"/>
      <c r="BS34" s="37"/>
    </row>
    <row r="35" spans="1:71" ht="14.5" hidden="1">
      <c r="A35" s="2"/>
      <c r="B35" s="2"/>
      <c r="C35" s="2"/>
      <c r="D35" s="2"/>
      <c r="E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7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7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7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7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7"/>
      <c r="BS35" s="37"/>
    </row>
    <row r="36" spans="1:71" ht="14.5">
      <c r="A36" s="2"/>
      <c r="B36" s="1" t="s">
        <v>41</v>
      </c>
      <c r="C36" s="2"/>
      <c r="D36" s="2"/>
      <c r="E36" s="2"/>
      <c r="F36" s="37">
        <f t="shared" ref="F36:BS36" si="92">F16-F27</f>
        <v>12685.5631765744</v>
      </c>
      <c r="G36" s="37">
        <f t="shared" si="92"/>
        <v>14761.105474019285</v>
      </c>
      <c r="H36" s="37">
        <f t="shared" si="92"/>
        <v>27491.344764861613</v>
      </c>
      <c r="I36" s="37">
        <f t="shared" si="92"/>
        <v>35727.74111972878</v>
      </c>
      <c r="J36" s="37">
        <f t="shared" si="92"/>
        <v>42297.1263531488</v>
      </c>
      <c r="K36" s="37">
        <f t="shared" si="92"/>
        <v>35727.74111972878</v>
      </c>
      <c r="L36" s="37">
        <f t="shared" si="92"/>
        <v>32426.605294290668</v>
      </c>
      <c r="M36" s="37">
        <f t="shared" si="92"/>
        <v>44764.756617863342</v>
      </c>
      <c r="N36" s="37">
        <f t="shared" si="92"/>
        <v>42907.796726964516</v>
      </c>
      <c r="O36" s="37">
        <f t="shared" si="92"/>
        <v>42297.1263531488</v>
      </c>
      <c r="P36" s="37">
        <f t="shared" si="92"/>
        <v>26154.333643414458</v>
      </c>
      <c r="Q36" s="37">
        <f t="shared" si="92"/>
        <v>22556.084235432554</v>
      </c>
      <c r="R36" s="37">
        <f t="shared" si="92"/>
        <v>379797.32487917593</v>
      </c>
      <c r="S36" s="37">
        <f t="shared" si="92"/>
        <v>15165.983552409831</v>
      </c>
      <c r="T36" s="37">
        <f t="shared" si="92"/>
        <v>17298.607513381939</v>
      </c>
      <c r="U36" s="37">
        <f t="shared" si="92"/>
        <v>32045.475328614739</v>
      </c>
      <c r="V36" s="37">
        <f t="shared" si="92"/>
        <v>41301.970818791626</v>
      </c>
      <c r="W36" s="37">
        <f t="shared" si="92"/>
        <v>48924.967104819661</v>
      </c>
      <c r="X36" s="37">
        <f t="shared" si="92"/>
        <v>41301.970818791626</v>
      </c>
      <c r="Y36" s="37">
        <f t="shared" si="92"/>
        <v>37671.972587349708</v>
      </c>
      <c r="Z36" s="37">
        <f t="shared" si="92"/>
        <v>51738.215734187128</v>
      </c>
      <c r="AA36" s="37">
        <f t="shared" si="92"/>
        <v>49469.46683953594</v>
      </c>
      <c r="AB36" s="37">
        <f t="shared" si="92"/>
        <v>48924.967104819661</v>
      </c>
      <c r="AC36" s="37">
        <f t="shared" si="92"/>
        <v>30411.976124465877</v>
      </c>
      <c r="AD36" s="37">
        <f t="shared" si="92"/>
        <v>26418.978069879766</v>
      </c>
      <c r="AE36" s="37">
        <f t="shared" si="92"/>
        <v>440674.55159704748</v>
      </c>
      <c r="AF36" s="37">
        <f t="shared" si="92"/>
        <v>16059.788051677671</v>
      </c>
      <c r="AG36" s="37">
        <f t="shared" si="92"/>
        <v>18502.258533436885</v>
      </c>
      <c r="AH36" s="37">
        <f t="shared" si="92"/>
        <v>35391.68207751654</v>
      </c>
      <c r="AI36" s="37">
        <f t="shared" si="92"/>
        <v>45993.043317492658</v>
      </c>
      <c r="AJ36" s="37">
        <f t="shared" si="92"/>
        <v>54723.576103355343</v>
      </c>
      <c r="AK36" s="37">
        <f t="shared" si="92"/>
        <v>45993.043317492658</v>
      </c>
      <c r="AL36" s="37">
        <f t="shared" si="92"/>
        <v>41835.646752796129</v>
      </c>
      <c r="AM36" s="37">
        <f t="shared" si="92"/>
        <v>57945.558440995155</v>
      </c>
      <c r="AN36" s="37">
        <f t="shared" si="92"/>
        <v>55347.185588059801</v>
      </c>
      <c r="AO36" s="37">
        <f t="shared" si="92"/>
        <v>54723.576103355343</v>
      </c>
      <c r="AP36" s="37">
        <f t="shared" si="92"/>
        <v>33520.853623403062</v>
      </c>
      <c r="AQ36" s="37">
        <f t="shared" si="92"/>
        <v>28947.717402236911</v>
      </c>
      <c r="AR36" s="37">
        <f t="shared" si="92"/>
        <v>488983.92931181827</v>
      </c>
      <c r="AS36" s="37">
        <f t="shared" si="92"/>
        <v>16625.377314932546</v>
      </c>
      <c r="AT36" s="37">
        <f t="shared" si="92"/>
        <v>19187.027494773713</v>
      </c>
      <c r="AU36" s="37">
        <f t="shared" si="92"/>
        <v>36900.565972398814</v>
      </c>
      <c r="AV36" s="37">
        <f t="shared" si="92"/>
        <v>48019.217816815813</v>
      </c>
      <c r="AW36" s="37">
        <f t="shared" si="92"/>
        <v>57175.754629865092</v>
      </c>
      <c r="AX36" s="37">
        <f t="shared" si="92"/>
        <v>48019.217816815813</v>
      </c>
      <c r="AY36" s="37">
        <f t="shared" si="92"/>
        <v>43658.962191554252</v>
      </c>
      <c r="AZ36" s="37">
        <f t="shared" si="92"/>
        <v>60554.952739442822</v>
      </c>
      <c r="BA36" s="37">
        <f t="shared" si="92"/>
        <v>57829.79297365433</v>
      </c>
      <c r="BB36" s="37">
        <f t="shared" si="92"/>
        <v>57175.754629865092</v>
      </c>
      <c r="BC36" s="37">
        <f t="shared" si="92"/>
        <v>34938.450941031122</v>
      </c>
      <c r="BD36" s="37">
        <f t="shared" si="92"/>
        <v>30142.169753243383</v>
      </c>
      <c r="BE36" s="37">
        <f t="shared" si="92"/>
        <v>510227.24427439272</v>
      </c>
      <c r="BF36" s="37">
        <f t="shared" si="92"/>
        <v>19356.920777127722</v>
      </c>
      <c r="BG36" s="37">
        <f t="shared" si="92"/>
        <v>22157.395611166707</v>
      </c>
      <c r="BH36" s="37">
        <f t="shared" si="92"/>
        <v>41522.381165691579</v>
      </c>
      <c r="BI36" s="37">
        <f t="shared" si="92"/>
        <v>53677.633636839528</v>
      </c>
      <c r="BJ36" s="37">
        <f t="shared" si="92"/>
        <v>63687.841554255443</v>
      </c>
      <c r="BK36" s="37">
        <f t="shared" si="92"/>
        <v>53677.633636839528</v>
      </c>
      <c r="BL36" s="37">
        <f t="shared" si="92"/>
        <v>48910.867961879514</v>
      </c>
      <c r="BM36" s="37">
        <f t="shared" si="92"/>
        <v>67382.084952349396</v>
      </c>
      <c r="BN36" s="37">
        <f t="shared" si="92"/>
        <v>64402.85640549942</v>
      </c>
      <c r="BO36" s="37">
        <f t="shared" si="92"/>
        <v>63687.841554255443</v>
      </c>
      <c r="BP36" s="37">
        <f t="shared" si="92"/>
        <v>39377.336611959603</v>
      </c>
      <c r="BQ36" s="37">
        <f t="shared" si="92"/>
        <v>34133.894369503636</v>
      </c>
      <c r="BR36" s="37">
        <f t="shared" si="92"/>
        <v>571974.68823736766</v>
      </c>
      <c r="BS36" s="37">
        <f t="shared" si="92"/>
        <v>2713841.1871661399</v>
      </c>
    </row>
    <row r="37" spans="1:71" ht="14.5">
      <c r="A37" s="2"/>
      <c r="B37" s="2"/>
      <c r="C37" s="2"/>
      <c r="D37" s="2"/>
      <c r="E37" s="2"/>
      <c r="F37" s="42">
        <f t="shared" ref="F37:BS37" si="93">IF(F16&lt;&gt;0,F36/F16,"N/A")</f>
        <v>0.36579602864483096</v>
      </c>
      <c r="G37" s="42">
        <f t="shared" si="93"/>
        <v>0.39814154572740823</v>
      </c>
      <c r="H37" s="42">
        <f t="shared" si="93"/>
        <v>0.52848657417971601</v>
      </c>
      <c r="I37" s="42">
        <f t="shared" si="93"/>
        <v>0.57957287895112297</v>
      </c>
      <c r="J37" s="42">
        <f t="shared" si="93"/>
        <v>0.60983184694715831</v>
      </c>
      <c r="K37" s="42">
        <f t="shared" si="93"/>
        <v>0.57957287895112297</v>
      </c>
      <c r="L37" s="42">
        <f t="shared" si="93"/>
        <v>0.56102468328669286</v>
      </c>
      <c r="M37" s="42">
        <f t="shared" si="93"/>
        <v>0.61959327967925149</v>
      </c>
      <c r="N37" s="42">
        <f t="shared" si="93"/>
        <v>0.61252156333478724</v>
      </c>
      <c r="O37" s="42">
        <f t="shared" si="93"/>
        <v>0.60983184694715831</v>
      </c>
      <c r="P37" s="42">
        <f t="shared" si="93"/>
        <v>0.51855679675915234</v>
      </c>
      <c r="Q37" s="42">
        <f t="shared" si="93"/>
        <v>0.48781393779599486</v>
      </c>
      <c r="R37" s="42">
        <f t="shared" si="93"/>
        <v>0.55643469242768784</v>
      </c>
      <c r="S37" s="42">
        <f t="shared" si="93"/>
        <v>0.38273098071886952</v>
      </c>
      <c r="T37" s="42">
        <f t="shared" si="93"/>
        <v>0.4106110520985698</v>
      </c>
      <c r="U37" s="42">
        <f t="shared" si="93"/>
        <v>0.53913620384896244</v>
      </c>
      <c r="V37" s="42">
        <f t="shared" si="93"/>
        <v>0.58747963645280932</v>
      </c>
      <c r="W37" s="42">
        <f t="shared" si="93"/>
        <v>0.61733881541400903</v>
      </c>
      <c r="X37" s="42">
        <f t="shared" si="93"/>
        <v>0.58747963645280932</v>
      </c>
      <c r="Y37" s="42">
        <f t="shared" si="93"/>
        <v>0.5704172484749811</v>
      </c>
      <c r="Z37" s="42">
        <f t="shared" si="93"/>
        <v>0.62672312880181447</v>
      </c>
      <c r="AA37" s="42">
        <f t="shared" si="93"/>
        <v>0.61921567809157008</v>
      </c>
      <c r="AB37" s="42">
        <f t="shared" si="93"/>
        <v>0.61733881541400903</v>
      </c>
      <c r="AC37" s="42">
        <f t="shared" si="93"/>
        <v>0.52870918897362296</v>
      </c>
      <c r="AD37" s="42">
        <f t="shared" si="93"/>
        <v>0.50003489806643919</v>
      </c>
      <c r="AE37" s="42">
        <f t="shared" si="93"/>
        <v>0.56558685133162356</v>
      </c>
      <c r="AF37" s="42">
        <f t="shared" si="93"/>
        <v>0.35427199465500897</v>
      </c>
      <c r="AG37" s="42">
        <f t="shared" si="93"/>
        <v>0.38390008676853243</v>
      </c>
      <c r="AH37" s="42">
        <f t="shared" si="93"/>
        <v>0.52048349012874673</v>
      </c>
      <c r="AI37" s="42">
        <f t="shared" si="93"/>
        <v>0.57185795236608361</v>
      </c>
      <c r="AJ37" s="42">
        <f t="shared" si="93"/>
        <v>0.60358923786561536</v>
      </c>
      <c r="AK37" s="42">
        <f t="shared" si="93"/>
        <v>0.57185795236608361</v>
      </c>
      <c r="AL37" s="42">
        <f t="shared" si="93"/>
        <v>0.55372578922349402</v>
      </c>
      <c r="AM37" s="42">
        <f t="shared" si="93"/>
        <v>0.6135619275940396</v>
      </c>
      <c r="AN37" s="42">
        <f t="shared" si="93"/>
        <v>0.60558377581129996</v>
      </c>
      <c r="AO37" s="42">
        <f t="shared" si="93"/>
        <v>0.60358923786561536</v>
      </c>
      <c r="AP37" s="42">
        <f t="shared" si="93"/>
        <v>0.50940272376383056</v>
      </c>
      <c r="AQ37" s="42">
        <f t="shared" si="93"/>
        <v>0.47893061626031225</v>
      </c>
      <c r="AR37" s="42">
        <f t="shared" si="93"/>
        <v>0.5485925365298695</v>
      </c>
      <c r="AS37" s="42">
        <f t="shared" si="93"/>
        <v>0.34928442833507206</v>
      </c>
      <c r="AT37" s="42">
        <f t="shared" si="93"/>
        <v>0.37915070163756576</v>
      </c>
      <c r="AU37" s="42">
        <f t="shared" si="93"/>
        <v>0.51683210338665031</v>
      </c>
      <c r="AV37" s="42">
        <f t="shared" si="93"/>
        <v>0.56861956658441093</v>
      </c>
      <c r="AW37" s="42">
        <f t="shared" si="93"/>
        <v>0.60060594091243957</v>
      </c>
      <c r="AX37" s="42">
        <f t="shared" si="93"/>
        <v>0.56861956658441093</v>
      </c>
      <c r="AY37" s="42">
        <f t="shared" si="93"/>
        <v>0.55034163839696615</v>
      </c>
      <c r="AZ37" s="42">
        <f t="shared" si="93"/>
        <v>0.6106588014155343</v>
      </c>
      <c r="BA37" s="42">
        <f t="shared" si="93"/>
        <v>0.60261651301305852</v>
      </c>
      <c r="BB37" s="42">
        <f t="shared" si="93"/>
        <v>0.60060594091243957</v>
      </c>
      <c r="BC37" s="42">
        <f t="shared" si="93"/>
        <v>0.50566225838321188</v>
      </c>
      <c r="BD37" s="42">
        <f t="shared" si="93"/>
        <v>0.47494518462375568</v>
      </c>
      <c r="BE37" s="42">
        <f t="shared" si="93"/>
        <v>0.54516711931922301</v>
      </c>
      <c r="BF37" s="42">
        <f t="shared" si="93"/>
        <v>0.37241001209885977</v>
      </c>
      <c r="BG37" s="42">
        <f t="shared" si="93"/>
        <v>0.40095925249281367</v>
      </c>
      <c r="BH37" s="42">
        <f t="shared" si="93"/>
        <v>0.5325692259401188</v>
      </c>
      <c r="BI37" s="42">
        <f t="shared" si="93"/>
        <v>0.58207298294559884</v>
      </c>
      <c r="BJ37" s="42">
        <f t="shared" si="93"/>
        <v>0.61264883286074823</v>
      </c>
      <c r="BK37" s="42">
        <f t="shared" si="93"/>
        <v>0.58207298294559884</v>
      </c>
      <c r="BL37" s="42">
        <f t="shared" si="93"/>
        <v>0.56460106870837046</v>
      </c>
      <c r="BM37" s="42">
        <f t="shared" si="93"/>
        <v>0.6222583856912236</v>
      </c>
      <c r="BN37" s="42">
        <f t="shared" si="93"/>
        <v>0.61457074342684326</v>
      </c>
      <c r="BO37" s="42">
        <f t="shared" si="93"/>
        <v>0.61264883286074823</v>
      </c>
      <c r="BP37" s="42">
        <f t="shared" si="93"/>
        <v>0.52189194501736813</v>
      </c>
      <c r="BQ37" s="42">
        <f t="shared" si="93"/>
        <v>0.49252942247980402</v>
      </c>
      <c r="BR37" s="42">
        <f t="shared" si="93"/>
        <v>0.55965473383835351</v>
      </c>
      <c r="BS37" s="43">
        <f t="shared" si="93"/>
        <v>0.98451453126216693</v>
      </c>
    </row>
    <row r="38" spans="1:71" ht="14.5">
      <c r="A38" s="1"/>
      <c r="B38" s="23" t="s">
        <v>42</v>
      </c>
      <c r="C38" s="24"/>
      <c r="D38" s="24"/>
      <c r="E38" s="2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7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7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7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7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7"/>
      <c r="BS38" s="37"/>
    </row>
    <row r="39" spans="1:71" ht="15.75" customHeight="1">
      <c r="A39" s="1"/>
      <c r="B39" s="23"/>
      <c r="C39" s="25" t="s">
        <v>43</v>
      </c>
      <c r="D39" s="24"/>
      <c r="E39" s="2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7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7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7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7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7"/>
      <c r="BS39" s="37"/>
    </row>
    <row r="40" spans="1:71" ht="15.75" customHeight="1">
      <c r="A40" s="2"/>
      <c r="B40" s="2"/>
      <c r="C40" s="24" t="s">
        <v>44</v>
      </c>
      <c r="D40" s="24"/>
      <c r="E40" s="24"/>
      <c r="F40" s="3">
        <f>Labor!H17</f>
        <v>6119</v>
      </c>
      <c r="G40" s="3">
        <f>Labor!I17</f>
        <v>6119</v>
      </c>
      <c r="H40" s="3">
        <f>Labor!J17</f>
        <v>6119</v>
      </c>
      <c r="I40" s="3">
        <f>Labor!K17</f>
        <v>6119</v>
      </c>
      <c r="J40" s="3">
        <f>Labor!L17</f>
        <v>6119</v>
      </c>
      <c r="K40" s="3">
        <f>Labor!M17</f>
        <v>6119</v>
      </c>
      <c r="L40" s="3">
        <f>Labor!N17</f>
        <v>6119</v>
      </c>
      <c r="M40" s="3">
        <f>Labor!O17</f>
        <v>6119</v>
      </c>
      <c r="N40" s="3">
        <f>Labor!P17</f>
        <v>6119</v>
      </c>
      <c r="O40" s="3">
        <f>Labor!Q17</f>
        <v>6119</v>
      </c>
      <c r="P40" s="3">
        <f>Labor!R17</f>
        <v>6119</v>
      </c>
      <c r="Q40" s="3">
        <f>Labor!S17</f>
        <v>6119</v>
      </c>
      <c r="R40" s="37">
        <f>SUM(F40:Q40)</f>
        <v>73428</v>
      </c>
      <c r="S40" s="3">
        <f>Labor!U17</f>
        <v>8802</v>
      </c>
      <c r="T40" s="3">
        <f>Labor!V17</f>
        <v>8802</v>
      </c>
      <c r="U40" s="3">
        <f>Labor!W17</f>
        <v>8802</v>
      </c>
      <c r="V40" s="3">
        <f>Labor!X17</f>
        <v>8802</v>
      </c>
      <c r="W40" s="3">
        <f>Labor!Y17</f>
        <v>8802</v>
      </c>
      <c r="X40" s="3">
        <f>Labor!Z17</f>
        <v>8802</v>
      </c>
      <c r="Y40" s="3">
        <f>Labor!AA17</f>
        <v>8802</v>
      </c>
      <c r="Z40" s="3">
        <f>Labor!AB17</f>
        <v>8802</v>
      </c>
      <c r="AA40" s="3">
        <f>Labor!AC17</f>
        <v>8802</v>
      </c>
      <c r="AB40" s="3">
        <f>Labor!AD17</f>
        <v>8802</v>
      </c>
      <c r="AC40" s="3">
        <f>Labor!AE17</f>
        <v>8802</v>
      </c>
      <c r="AD40" s="3">
        <f>Labor!AF17</f>
        <v>8802</v>
      </c>
      <c r="AE40" s="37">
        <f>SUM(S40:AD40)</f>
        <v>105624</v>
      </c>
      <c r="AF40" s="3">
        <f>Labor!AH17</f>
        <v>9948</v>
      </c>
      <c r="AG40" s="3">
        <f>Labor!AI17</f>
        <v>9948</v>
      </c>
      <c r="AH40" s="3">
        <f>Labor!AJ17</f>
        <v>9948</v>
      </c>
      <c r="AI40" s="3">
        <f>Labor!AK17</f>
        <v>9948</v>
      </c>
      <c r="AJ40" s="3">
        <f>Labor!AL17</f>
        <v>9948</v>
      </c>
      <c r="AK40" s="3">
        <f>Labor!AM17</f>
        <v>9948</v>
      </c>
      <c r="AL40" s="3">
        <f>Labor!AN17</f>
        <v>9948</v>
      </c>
      <c r="AM40" s="3">
        <f>Labor!AO17</f>
        <v>9948</v>
      </c>
      <c r="AN40" s="3">
        <f>Labor!AP17</f>
        <v>9948</v>
      </c>
      <c r="AO40" s="3">
        <f>Labor!AQ17</f>
        <v>9948</v>
      </c>
      <c r="AP40" s="3">
        <f>Labor!AR17</f>
        <v>9948</v>
      </c>
      <c r="AQ40" s="3">
        <f>Labor!AS17</f>
        <v>9948</v>
      </c>
      <c r="AR40" s="37">
        <f>SUM(AF40:AQ40)</f>
        <v>119376</v>
      </c>
      <c r="AS40" s="3">
        <f>Labor!AU17</f>
        <v>10729</v>
      </c>
      <c r="AT40" s="3">
        <f>Labor!AV17</f>
        <v>10729</v>
      </c>
      <c r="AU40" s="3">
        <f>Labor!AW17</f>
        <v>10729</v>
      </c>
      <c r="AV40" s="3">
        <f>Labor!AX17</f>
        <v>10729</v>
      </c>
      <c r="AW40" s="3">
        <f>Labor!AY17</f>
        <v>10729</v>
      </c>
      <c r="AX40" s="3">
        <f>Labor!AZ17</f>
        <v>10729</v>
      </c>
      <c r="AY40" s="3">
        <f>Labor!BA17</f>
        <v>10729</v>
      </c>
      <c r="AZ40" s="3">
        <f>Labor!BB17</f>
        <v>10729</v>
      </c>
      <c r="BA40" s="3">
        <f>Labor!BC17</f>
        <v>10729</v>
      </c>
      <c r="BB40" s="3">
        <f>Labor!BD17</f>
        <v>10729</v>
      </c>
      <c r="BC40" s="3">
        <f>Labor!BE17</f>
        <v>10729</v>
      </c>
      <c r="BD40" s="3">
        <f>Labor!BF17</f>
        <v>10729</v>
      </c>
      <c r="BE40" s="37">
        <f>SUM(AS40:BD40)</f>
        <v>128748</v>
      </c>
      <c r="BF40" s="3">
        <f>Labor!BH17</f>
        <v>13333</v>
      </c>
      <c r="BG40" s="3">
        <f>Labor!BI17</f>
        <v>13333</v>
      </c>
      <c r="BH40" s="3">
        <f>Labor!BJ17</f>
        <v>13333</v>
      </c>
      <c r="BI40" s="3">
        <f>Labor!BK17</f>
        <v>13333</v>
      </c>
      <c r="BJ40" s="3">
        <f>Labor!BL17</f>
        <v>13333</v>
      </c>
      <c r="BK40" s="3">
        <f>Labor!BM17</f>
        <v>13333</v>
      </c>
      <c r="BL40" s="3">
        <f>Labor!BN17</f>
        <v>13333</v>
      </c>
      <c r="BM40" s="3">
        <f>Labor!BO17</f>
        <v>13333</v>
      </c>
      <c r="BN40" s="3">
        <f>Labor!BP17</f>
        <v>13333</v>
      </c>
      <c r="BO40" s="3">
        <f>Labor!BQ17</f>
        <v>13333</v>
      </c>
      <c r="BP40" s="3">
        <f>Labor!BR17</f>
        <v>13333</v>
      </c>
      <c r="BQ40" s="3">
        <f>Labor!BS17</f>
        <v>13333</v>
      </c>
      <c r="BR40" s="37">
        <f>SUM(BF40:BQ40)</f>
        <v>159996</v>
      </c>
      <c r="BS40" s="37">
        <f>R40+AE40+AR40+BE40+BR40</f>
        <v>587172</v>
      </c>
    </row>
    <row r="41" spans="1:71" ht="15.75" customHeight="1">
      <c r="A41" s="2"/>
      <c r="B41" s="2"/>
      <c r="C41" s="283" t="s">
        <v>640</v>
      </c>
      <c r="D41" s="24"/>
      <c r="E41" s="24"/>
      <c r="F41" s="3">
        <f>Events!B29</f>
        <v>396</v>
      </c>
      <c r="G41" s="3">
        <f>Events!C29</f>
        <v>462</v>
      </c>
      <c r="H41" s="3">
        <f>Events!D29</f>
        <v>594</v>
      </c>
      <c r="I41" s="3">
        <f>Events!E29</f>
        <v>726</v>
      </c>
      <c r="J41" s="3">
        <f>Events!F29</f>
        <v>792</v>
      </c>
      <c r="K41" s="3">
        <f>Events!G29</f>
        <v>726</v>
      </c>
      <c r="L41" s="3">
        <f>Events!H29</f>
        <v>660</v>
      </c>
      <c r="M41" s="3">
        <f>Events!I29</f>
        <v>825</v>
      </c>
      <c r="N41" s="3">
        <f>Events!J29</f>
        <v>825</v>
      </c>
      <c r="O41" s="3">
        <f>Events!K29</f>
        <v>792</v>
      </c>
      <c r="P41" s="3">
        <f>Events!L29</f>
        <v>594</v>
      </c>
      <c r="Q41" s="3">
        <f>Events!M29</f>
        <v>528</v>
      </c>
      <c r="R41" s="37">
        <f>SUM(F41:Q41)</f>
        <v>7920</v>
      </c>
      <c r="S41" s="3">
        <f>IF(Events!$F$3="No",SOO!F41,SOO!F41*(1+Assumptions!$D$73))</f>
        <v>455.4</v>
      </c>
      <c r="T41" s="3">
        <f>IF(Events!G3="No",SOO!G41,SOO!G41*(1+Assumptions!$D$73))</f>
        <v>531.29999999999995</v>
      </c>
      <c r="U41" s="3">
        <f>IF(Events!H3="No",SOO!H41,SOO!H41*(1+Assumptions!$D$73))</f>
        <v>683.09999999999991</v>
      </c>
      <c r="V41" s="3">
        <f>IF(Events!I3="No",SOO!I41,SOO!I41*(1+Assumptions!$D$73))</f>
        <v>834.9</v>
      </c>
      <c r="W41" s="3">
        <f>IF(Events!J3="No",SOO!J41,SOO!J41*(1+Assumptions!$D$73))</f>
        <v>910.8</v>
      </c>
      <c r="X41" s="3">
        <f>IF(Events!K3="No",SOO!K41,SOO!K41*(1+Assumptions!$D$73))</f>
        <v>834.9</v>
      </c>
      <c r="Y41" s="3">
        <f>IF(Events!L3="No",SOO!L41,SOO!L41*(1+Assumptions!$D$73))</f>
        <v>758.99999999999989</v>
      </c>
      <c r="Z41" s="3">
        <f>IF(Events!M3="No",SOO!M41,SOO!M41*(1+Assumptions!$D$73))</f>
        <v>948.74999999999989</v>
      </c>
      <c r="AA41" s="3">
        <f>IF(Events!N3="No",SOO!N41,SOO!N41*(1+Assumptions!$D$73))</f>
        <v>948.74999999999989</v>
      </c>
      <c r="AB41" s="3">
        <f>IF(Events!O3="No",SOO!O41,SOO!O41*(1+Assumptions!$D$73))</f>
        <v>910.8</v>
      </c>
      <c r="AC41" s="3">
        <f>IF(Events!P3="No",SOO!P41,SOO!P41*(1+Assumptions!$D$73))</f>
        <v>683.09999999999991</v>
      </c>
      <c r="AD41" s="3">
        <f>IF(Events!Q3="No",SOO!Q41,SOO!Q41*(1+Assumptions!$D$73))</f>
        <v>607.19999999999993</v>
      </c>
      <c r="AE41" s="37">
        <f>SUM(S41:AD41)</f>
        <v>9108</v>
      </c>
      <c r="AF41" s="3">
        <f>IF(Events!$F$3="No",SOO!S41,SOO!S41*(1+Assumptions!$E$73))</f>
        <v>500.94</v>
      </c>
      <c r="AG41" s="3">
        <f>IF(Events!$F$3="No",SOO!T41,SOO!T41*(1+Assumptions!$E$73))</f>
        <v>584.42999999999995</v>
      </c>
      <c r="AH41" s="3">
        <f>IF(Events!$F$3="No",SOO!U41,SOO!U41*(1+Assumptions!$E$73))</f>
        <v>751.41</v>
      </c>
      <c r="AI41" s="3">
        <f>IF(Events!$F$3="No",SOO!V41,SOO!V41*(1+Assumptions!$E$73))</f>
        <v>918.3900000000001</v>
      </c>
      <c r="AJ41" s="3">
        <f>IF(Events!$F$3="No",SOO!W41,SOO!W41*(1+Assumptions!$E$73))</f>
        <v>1001.88</v>
      </c>
      <c r="AK41" s="3">
        <f>IF(Events!$F$3="No",SOO!X41,SOO!X41*(1+Assumptions!$E$73))</f>
        <v>918.3900000000001</v>
      </c>
      <c r="AL41" s="3">
        <f>IF(Events!$F$3="No",SOO!Y41,SOO!Y41*(1+Assumptions!$E$73))</f>
        <v>834.9</v>
      </c>
      <c r="AM41" s="3">
        <f>IF(Events!$F$3="No",SOO!Z41,SOO!Z41*(1+Assumptions!$E$73))</f>
        <v>1043.625</v>
      </c>
      <c r="AN41" s="3">
        <f>IF(Events!$F$3="No",SOO!AA41,SOO!AA41*(1+Assumptions!$E$73))</f>
        <v>1043.625</v>
      </c>
      <c r="AO41" s="3">
        <f>IF(Events!$F$3="No",SOO!AB41,SOO!AB41*(1+Assumptions!$E$73))</f>
        <v>1001.88</v>
      </c>
      <c r="AP41" s="3">
        <f>IF(Events!$F$3="No",SOO!AC41,SOO!AC41*(1+Assumptions!$E$73))</f>
        <v>751.41</v>
      </c>
      <c r="AQ41" s="3">
        <f>IF(Events!$F$3="No",SOO!AD41,SOO!AD41*(1+Assumptions!$E$73))</f>
        <v>667.92</v>
      </c>
      <c r="AR41" s="37">
        <f>SUM(AF41:AQ41)</f>
        <v>10018.799999999999</v>
      </c>
      <c r="AS41" s="3">
        <f>IF(Events!$F$3="No",SOO!AF41,SOO!AF41*(1+Assumptions!$F$73))</f>
        <v>525.98699999999997</v>
      </c>
      <c r="AT41" s="3">
        <f>IF(Events!$F$3="No",SOO!AG41,SOO!AG41*(1+Assumptions!$F$73))</f>
        <v>613.65149999999994</v>
      </c>
      <c r="AU41" s="3">
        <f>IF(Events!$F$3="No",SOO!AH41,SOO!AH41*(1+Assumptions!$F$73))</f>
        <v>788.98050000000001</v>
      </c>
      <c r="AV41" s="3">
        <f>IF(Events!$F$3="No",SOO!AI41,SOO!AI41*(1+Assumptions!$F$73))</f>
        <v>964.30950000000018</v>
      </c>
      <c r="AW41" s="3">
        <f>IF(Events!$F$3="No",SOO!AJ41,SOO!AJ41*(1+Assumptions!$F$73))</f>
        <v>1051.9739999999999</v>
      </c>
      <c r="AX41" s="3">
        <f>IF(Events!$F$3="No",SOO!AK41,SOO!AK41*(1+Assumptions!$F$73))</f>
        <v>964.30950000000018</v>
      </c>
      <c r="AY41" s="3">
        <f>IF(Events!$F$3="No",SOO!AL41,SOO!AL41*(1+Assumptions!$F$73))</f>
        <v>876.64499999999998</v>
      </c>
      <c r="AZ41" s="3">
        <f>IF(Events!$F$3="No",SOO!AM41,SOO!AM41*(1+Assumptions!$F$73))</f>
        <v>1095.8062500000001</v>
      </c>
      <c r="BA41" s="3">
        <f>IF(Events!$F$3="No",SOO!AN41,SOO!AN41*(1+Assumptions!$F$73))</f>
        <v>1095.8062500000001</v>
      </c>
      <c r="BB41" s="3">
        <f>IF(Events!$F$3="No",SOO!AO41,SOO!AO41*(1+Assumptions!$F$73))</f>
        <v>1051.9739999999999</v>
      </c>
      <c r="BC41" s="3">
        <f>IF(Events!$F$3="No",SOO!AP41,SOO!AP41*(1+Assumptions!$F$73))</f>
        <v>788.98050000000001</v>
      </c>
      <c r="BD41" s="3">
        <f>IF(Events!$F$3="No",SOO!AQ41,SOO!AQ41*(1+Assumptions!$F$73))</f>
        <v>701.31600000000003</v>
      </c>
      <c r="BE41" s="37">
        <f>SUM(AS41:BD41)</f>
        <v>10519.74</v>
      </c>
      <c r="BF41" s="3">
        <f>IF(Events!$F$3="No",SOO!AS41,SOO!AS41*(1+Assumptions!$G$73))</f>
        <v>552.28634999999997</v>
      </c>
      <c r="BG41" s="3">
        <f>IF(Events!$F$3="No",SOO!AT41,SOO!AT41*(1+Assumptions!$G$73))</f>
        <v>644.33407499999998</v>
      </c>
      <c r="BH41" s="3">
        <f>IF(Events!$F$3="No",SOO!AU41,SOO!AU41*(1+Assumptions!$G$73))</f>
        <v>828.42952500000001</v>
      </c>
      <c r="BI41" s="3">
        <f>IF(Events!$F$3="No",SOO!AV41,SOO!AV41*(1+Assumptions!$G$73))</f>
        <v>1012.5249750000003</v>
      </c>
      <c r="BJ41" s="3">
        <f>IF(Events!$F$3="No",SOO!AW41,SOO!AW41*(1+Assumptions!$G$73))</f>
        <v>1104.5726999999999</v>
      </c>
      <c r="BK41" s="3">
        <f>IF(Events!$F$3="No",SOO!AX41,SOO!AX41*(1+Assumptions!$G$73))</f>
        <v>1012.5249750000003</v>
      </c>
      <c r="BL41" s="3">
        <f>IF(Events!$F$3="No",SOO!AY41,SOO!AY41*(1+Assumptions!$G$73))</f>
        <v>920.47725000000003</v>
      </c>
      <c r="BM41" s="3">
        <f>IF(Events!$F$3="No",SOO!AZ41,SOO!AZ41*(1+Assumptions!$G$73))</f>
        <v>1150.5965625000001</v>
      </c>
      <c r="BN41" s="3">
        <f>IF(Events!$F$3="No",SOO!BA41,SOO!BA41*(1+Assumptions!$G$73))</f>
        <v>1150.5965625000001</v>
      </c>
      <c r="BO41" s="3">
        <f>IF(Events!$F$3="No",SOO!BB41,SOO!BB41*(1+Assumptions!$G$73))</f>
        <v>1104.5726999999999</v>
      </c>
      <c r="BP41" s="3">
        <f>IF(Events!$F$3="No",SOO!BC41,SOO!BC41*(1+Assumptions!$G$73))</f>
        <v>828.42952500000001</v>
      </c>
      <c r="BQ41" s="3">
        <f>IF(Events!$F$3="No",SOO!BD41,SOO!BD41*(1+Assumptions!$G$73))</f>
        <v>736.38180000000011</v>
      </c>
      <c r="BR41" s="37">
        <f>SUM(BF41:BQ41)</f>
        <v>11045.727000000003</v>
      </c>
      <c r="BS41" s="37"/>
    </row>
    <row r="42" spans="1:71" ht="15.75" customHeight="1">
      <c r="A42" s="2"/>
      <c r="B42" s="2"/>
      <c r="C42" s="26" t="s">
        <v>45</v>
      </c>
      <c r="D42" s="24"/>
      <c r="E42" s="24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7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7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7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7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7"/>
      <c r="BS42" s="37"/>
    </row>
    <row r="43" spans="1:71" ht="15.75" customHeight="1">
      <c r="A43" s="2"/>
      <c r="B43" s="21"/>
      <c r="C43" s="2" t="s">
        <v>46</v>
      </c>
      <c r="D43" s="2"/>
      <c r="E43" s="2"/>
      <c r="F43" s="3">
        <f>IF(G$9&gt;0,Assumptions!$B$64,0)</f>
        <v>200</v>
      </c>
      <c r="G43" s="3">
        <f>IF(H$9&gt;0,Assumptions!$B$64,0)</f>
        <v>200</v>
      </c>
      <c r="H43" s="3">
        <f>IF(I$9&gt;0,Assumptions!$B$64,0)</f>
        <v>200</v>
      </c>
      <c r="I43" s="3">
        <f>IF(J$9&gt;0,Assumptions!$B$64,0)</f>
        <v>200</v>
      </c>
      <c r="J43" s="3">
        <f>IF(K$9&gt;0,Assumptions!$B$64,0)</f>
        <v>200</v>
      </c>
      <c r="K43" s="3">
        <f>IF(L$9&gt;0,Assumptions!$B$64,0)</f>
        <v>200</v>
      </c>
      <c r="L43" s="3">
        <f>IF(M$9&gt;0,Assumptions!$B$64,0)</f>
        <v>200</v>
      </c>
      <c r="M43" s="3">
        <f>IF(N$9&gt;0,Assumptions!$B$64,0)</f>
        <v>200</v>
      </c>
      <c r="N43" s="3">
        <f>IF(O$9&gt;0,Assumptions!$B$64,0)</f>
        <v>200</v>
      </c>
      <c r="O43" s="3">
        <f>IF(P$9&gt;0,Assumptions!$B$64,0)</f>
        <v>200</v>
      </c>
      <c r="P43" s="3">
        <f>IF(Q$9&gt;0,Assumptions!$B$64,0)</f>
        <v>200</v>
      </c>
      <c r="Q43" s="3">
        <f>IF(R$9&gt;0,Assumptions!$B$64,0)</f>
        <v>200</v>
      </c>
      <c r="R43" s="37">
        <f t="shared" ref="R43:R54" si="94">SUM(F43:Q43)</f>
        <v>2400</v>
      </c>
      <c r="S43" s="3">
        <f>Assumptions!$H$64</f>
        <v>210</v>
      </c>
      <c r="T43" s="3">
        <f>Assumptions!$H$64</f>
        <v>210</v>
      </c>
      <c r="U43" s="3">
        <f>Assumptions!$H$64</f>
        <v>210</v>
      </c>
      <c r="V43" s="3">
        <f>Assumptions!$H$64</f>
        <v>210</v>
      </c>
      <c r="W43" s="3">
        <f>Assumptions!$H$64</f>
        <v>210</v>
      </c>
      <c r="X43" s="3">
        <f>Assumptions!$H$64</f>
        <v>210</v>
      </c>
      <c r="Y43" s="3">
        <f>Assumptions!$H$64</f>
        <v>210</v>
      </c>
      <c r="Z43" s="3">
        <f>Assumptions!$H$64</f>
        <v>210</v>
      </c>
      <c r="AA43" s="3">
        <f>Assumptions!$H$64</f>
        <v>210</v>
      </c>
      <c r="AB43" s="3">
        <f>Assumptions!$H$64</f>
        <v>210</v>
      </c>
      <c r="AC43" s="3">
        <f>Assumptions!$H$64</f>
        <v>210</v>
      </c>
      <c r="AD43" s="3">
        <f>Assumptions!$H$64</f>
        <v>210</v>
      </c>
      <c r="AE43" s="37">
        <f t="shared" ref="AE43:AE54" si="95">SUM(S43:AD43)</f>
        <v>2520</v>
      </c>
      <c r="AF43" s="3">
        <f>Assumptions!$I$64</f>
        <v>220.5</v>
      </c>
      <c r="AG43" s="3">
        <f>Assumptions!$I$64</f>
        <v>220.5</v>
      </c>
      <c r="AH43" s="3">
        <f>Assumptions!$I$64</f>
        <v>220.5</v>
      </c>
      <c r="AI43" s="3">
        <f>Assumptions!$I$64</f>
        <v>220.5</v>
      </c>
      <c r="AJ43" s="3">
        <f>Assumptions!$I$64</f>
        <v>220.5</v>
      </c>
      <c r="AK43" s="3">
        <f>Assumptions!$I$64</f>
        <v>220.5</v>
      </c>
      <c r="AL43" s="3">
        <f>Assumptions!$I$64</f>
        <v>220.5</v>
      </c>
      <c r="AM43" s="3">
        <f>Assumptions!$I$64</f>
        <v>220.5</v>
      </c>
      <c r="AN43" s="3">
        <f>Assumptions!$I$64</f>
        <v>220.5</v>
      </c>
      <c r="AO43" s="3">
        <f>Assumptions!$I$64</f>
        <v>220.5</v>
      </c>
      <c r="AP43" s="3">
        <f>Assumptions!$I$64</f>
        <v>220.5</v>
      </c>
      <c r="AQ43" s="3">
        <f>Assumptions!$I$64</f>
        <v>220.5</v>
      </c>
      <c r="AR43" s="37">
        <f t="shared" ref="AR43:AR54" si="96">SUM(AF43:AQ43)</f>
        <v>2646</v>
      </c>
      <c r="AS43" s="3">
        <f>Assumptions!$J$64</f>
        <v>227.11500000000001</v>
      </c>
      <c r="AT43" s="3">
        <f>Assumptions!$J$64</f>
        <v>227.11500000000001</v>
      </c>
      <c r="AU43" s="3">
        <f>Assumptions!$J$64</f>
        <v>227.11500000000001</v>
      </c>
      <c r="AV43" s="3">
        <f>Assumptions!$J$64</f>
        <v>227.11500000000001</v>
      </c>
      <c r="AW43" s="3">
        <f>Assumptions!$J$64</f>
        <v>227.11500000000001</v>
      </c>
      <c r="AX43" s="3">
        <f>Assumptions!$J$64</f>
        <v>227.11500000000001</v>
      </c>
      <c r="AY43" s="3">
        <f>Assumptions!$J$64</f>
        <v>227.11500000000001</v>
      </c>
      <c r="AZ43" s="3">
        <f>Assumptions!$J$64</f>
        <v>227.11500000000001</v>
      </c>
      <c r="BA43" s="3">
        <f>Assumptions!$J$64</f>
        <v>227.11500000000001</v>
      </c>
      <c r="BB43" s="3">
        <f>Assumptions!$J$64</f>
        <v>227.11500000000001</v>
      </c>
      <c r="BC43" s="3">
        <f>Assumptions!$J$64</f>
        <v>227.11500000000001</v>
      </c>
      <c r="BD43" s="3">
        <f>Assumptions!$J$64</f>
        <v>227.11500000000001</v>
      </c>
      <c r="BE43" s="37">
        <f t="shared" ref="BE43:BE54" si="97">SUM(AS43:BD43)</f>
        <v>2725.38</v>
      </c>
      <c r="BF43" s="3">
        <f>Assumptions!$K$64</f>
        <v>233.92845000000003</v>
      </c>
      <c r="BG43" s="3">
        <f>Assumptions!$K$64</f>
        <v>233.92845000000003</v>
      </c>
      <c r="BH43" s="3">
        <f>Assumptions!$K$64</f>
        <v>233.92845000000003</v>
      </c>
      <c r="BI43" s="3">
        <f>Assumptions!$K$64</f>
        <v>233.92845000000003</v>
      </c>
      <c r="BJ43" s="3">
        <f>Assumptions!$K$64</f>
        <v>233.92845000000003</v>
      </c>
      <c r="BK43" s="3">
        <f>Assumptions!$K$64</f>
        <v>233.92845000000003</v>
      </c>
      <c r="BL43" s="3">
        <f>Assumptions!$K$64</f>
        <v>233.92845000000003</v>
      </c>
      <c r="BM43" s="3">
        <f>Assumptions!$K$64</f>
        <v>233.92845000000003</v>
      </c>
      <c r="BN43" s="3">
        <f>Assumptions!$K$64</f>
        <v>233.92845000000003</v>
      </c>
      <c r="BO43" s="3">
        <f>Assumptions!$K$64</f>
        <v>233.92845000000003</v>
      </c>
      <c r="BP43" s="3">
        <f>Assumptions!$K$64</f>
        <v>233.92845000000003</v>
      </c>
      <c r="BQ43" s="3">
        <f>Assumptions!$K$64</f>
        <v>233.92845000000003</v>
      </c>
      <c r="BR43" s="37">
        <f t="shared" ref="BR43:BR54" si="98">SUM(BF43:BQ43)</f>
        <v>2807.1414</v>
      </c>
      <c r="BS43" s="37">
        <f t="shared" ref="BS43:BS54" si="99">R43+AE43+AR43+BE43+BR43</f>
        <v>13098.521400000001</v>
      </c>
    </row>
    <row r="44" spans="1:71" ht="15.75" customHeight="1">
      <c r="A44" s="2"/>
      <c r="B44" s="21"/>
      <c r="C44" s="24" t="s">
        <v>47</v>
      </c>
      <c r="D44" s="24"/>
      <c r="E44" s="2"/>
      <c r="F44" s="3">
        <f>IF(F$16&gt;0,SUM(F9:F13)*Assumptions!$B$65,0)</f>
        <v>1012.9038163714284</v>
      </c>
      <c r="G44" s="3">
        <f>IF(G$16&gt;0,SUM(G9:G13)*Assumptions!$B$65,0)</f>
        <v>1076.8910198249998</v>
      </c>
      <c r="H44" s="3">
        <f>IF(H$16&gt;0,SUM(H9:H13)*Assumptions!$B$65,0)</f>
        <v>1519.3557245571428</v>
      </c>
      <c r="I44" s="3">
        <f>IF(I$16&gt;0,SUM(I9:I13)*Assumptions!$B$65,0)</f>
        <v>1797.0874161428571</v>
      </c>
      <c r="J44" s="3">
        <f>IF(J$16&gt;0,SUM(J9:J13)*Assumptions!$B$65,0)</f>
        <v>2025.8076327428569</v>
      </c>
      <c r="K44" s="3">
        <f>IF(K$16&gt;0,SUM(K9:K13)*Assumptions!$B$65,0)</f>
        <v>1797.0874161428571</v>
      </c>
      <c r="L44" s="3">
        <f>IF(L$16&gt;0,SUM(L9:L13)*Assumptions!$B$65,0)</f>
        <v>1688.1730272857139</v>
      </c>
      <c r="M44" s="3">
        <f>IF(M$16&gt;0,SUM(M9:M13)*Assumptions!$B$65,0)</f>
        <v>2110.2162841071422</v>
      </c>
      <c r="N44" s="3">
        <f>IF(N$16&gt;0,SUM(N9:N13)*Assumptions!$B$65,0)</f>
        <v>2042.144791071428</v>
      </c>
      <c r="O44" s="3">
        <f>IF(O$16&gt;0,SUM(O9:O13)*Assumptions!$B$65,0)</f>
        <v>2025.8076327428569</v>
      </c>
      <c r="P44" s="3">
        <f>IF(P$16&gt;0,SUM(P9:P13)*Assumptions!$B$65,0)</f>
        <v>1470.3442495714289</v>
      </c>
      <c r="Q44" s="3">
        <f>IF(Q$16&gt;0,SUM(Q9:Q13)*Assumptions!$B$65,0)</f>
        <v>1350.5384218285719</v>
      </c>
      <c r="R44" s="37">
        <f t="shared" si="94"/>
        <v>19916.357432389286</v>
      </c>
      <c r="S44" s="3">
        <f>IF(S$16&gt;0,SUM(S9:S13)*Assumptions!$B$65,0)</f>
        <v>1164.839388827143</v>
      </c>
      <c r="T44" s="3">
        <f>IF(T$16&gt;0,SUM(T9:T13)*Assumptions!$B$65,0)</f>
        <v>1238.42467279875</v>
      </c>
      <c r="U44" s="3">
        <f>IF(U$16&gt;0,SUM(U9:U13)*Assumptions!$B$65,0)</f>
        <v>1747.2590832407143</v>
      </c>
      <c r="V44" s="3">
        <f>IF(V$16&gt;0,SUM(V9:V13)*Assumptions!$B$65,0)</f>
        <v>2066.6505285642852</v>
      </c>
      <c r="W44" s="3">
        <f>IF(W$16&gt;0,SUM(W9:W13)*Assumptions!$B$65,0)</f>
        <v>2329.678777654286</v>
      </c>
      <c r="X44" s="3">
        <f>IF(X$16&gt;0,SUM(X9:X13)*Assumptions!$B$65,0)</f>
        <v>2066.6505285642852</v>
      </c>
      <c r="Y44" s="3">
        <f>IF(Y$16&gt;0,SUM(Y9:Y13)*Assumptions!$B$65,0)</f>
        <v>1941.3989813785711</v>
      </c>
      <c r="Z44" s="3">
        <f>IF(Z$16&gt;0,SUM(Z9:Z13)*Assumptions!$B$65,0)</f>
        <v>2426.7487267232141</v>
      </c>
      <c r="AA44" s="3">
        <f>IF(AA$16&gt;0,SUM(AA9:AA13)*Assumptions!$B$65,0)</f>
        <v>2348.4665097321426</v>
      </c>
      <c r="AB44" s="3">
        <f>IF(AB$16&gt;0,SUM(AB9:AB13)*Assumptions!$B$65,0)</f>
        <v>2329.678777654286</v>
      </c>
      <c r="AC44" s="3">
        <f>IF(AC$16&gt;0,SUM(AC9:AC13)*Assumptions!$B$65,0)</f>
        <v>1690.8958870071431</v>
      </c>
      <c r="AD44" s="3">
        <f>IF(AD$16&gt;0,SUM(AD9:AD13)*Assumptions!$B$65,0)</f>
        <v>1553.119185102857</v>
      </c>
      <c r="AE44" s="37">
        <f t="shared" si="95"/>
        <v>22903.811047247676</v>
      </c>
      <c r="AF44" s="3">
        <f>IF(AF$16&gt;0,SUM(AF9:AF13)*Assumptions!$B$65,0)</f>
        <v>1332.5762608182513</v>
      </c>
      <c r="AG44" s="3">
        <f>IF(AG$16&gt;0,SUM(AG9:AG13)*Assumptions!$B$65,0)</f>
        <v>1416.7578256817701</v>
      </c>
      <c r="AH44" s="3">
        <f>IF(AH$16&gt;0,SUM(AH9:AH13)*Assumptions!$B$65,0)</f>
        <v>1998.8643912273776</v>
      </c>
      <c r="AI44" s="3">
        <f>IF(AI$16&gt;0,SUM(AI9:AI13)*Assumptions!$B$65,0)</f>
        <v>2364.2482046775431</v>
      </c>
      <c r="AJ44" s="3">
        <f>IF(AJ$16&gt;0,SUM(AJ9:AJ13)*Assumptions!$B$65,0)</f>
        <v>2665.1525216365026</v>
      </c>
      <c r="AK44" s="3">
        <f>IF(AK$16&gt;0,SUM(AK9:AK13)*Assumptions!$B$65,0)</f>
        <v>2364.2482046775431</v>
      </c>
      <c r="AL44" s="3">
        <f>IF(AL$16&gt;0,SUM(AL9:AL13)*Assumptions!$B$65,0)</f>
        <v>2220.9604346970859</v>
      </c>
      <c r="AM44" s="3">
        <f>IF(AM$16&gt;0,SUM(AM9:AM13)*Assumptions!$B$65,0)</f>
        <v>2776.2005433713571</v>
      </c>
      <c r="AN44" s="3">
        <f>IF(AN$16&gt;0,SUM(AN9:AN13)*Assumptions!$B$65,0)</f>
        <v>2686.6456871335708</v>
      </c>
      <c r="AO44" s="3">
        <f>IF(AO$16&gt;0,SUM(AO9:AO13)*Assumptions!$B$65,0)</f>
        <v>2665.1525216365026</v>
      </c>
      <c r="AP44" s="3">
        <f>IF(AP$16&gt;0,SUM(AP9:AP13)*Assumptions!$B$65,0)</f>
        <v>1934.384894736171</v>
      </c>
      <c r="AQ44" s="3">
        <f>IF(AQ$16&gt;0,SUM(AQ9:AQ13)*Assumptions!$B$65,0)</f>
        <v>1776.7683477576691</v>
      </c>
      <c r="AR44" s="37">
        <f t="shared" si="96"/>
        <v>26201.959838051345</v>
      </c>
      <c r="AS44" s="3">
        <f>IF(AS$16&gt;0,SUM(AS9:AS13)*Assumptions!$B$65,0)</f>
        <v>1399.2050738591643</v>
      </c>
      <c r="AT44" s="3">
        <f>IF(AT$16&gt;0,SUM(AT9:AT13)*Assumptions!$B$65,0)</f>
        <v>1487.5957169658586</v>
      </c>
      <c r="AU44" s="3">
        <f>IF(AU$16&gt;0,SUM(AU9:AU13)*Assumptions!$B$65,0)</f>
        <v>2098.8076107887459</v>
      </c>
      <c r="AV44" s="3">
        <f>IF(AV$16&gt;0,SUM(AV9:AV13)*Assumptions!$B$65,0)</f>
        <v>2482.4606149114202</v>
      </c>
      <c r="AW44" s="3">
        <f>IF(AW$16&gt;0,SUM(AW9:AW13)*Assumptions!$B$65,0)</f>
        <v>2798.4101477183285</v>
      </c>
      <c r="AX44" s="3">
        <f>IF(AX$16&gt;0,SUM(AX9:AX13)*Assumptions!$B$65,0)</f>
        <v>2482.4606149114202</v>
      </c>
      <c r="AY44" s="3">
        <f>IF(AY$16&gt;0,SUM(AY9:AY13)*Assumptions!$B$65,0)</f>
        <v>2332.0084564319404</v>
      </c>
      <c r="AZ44" s="3">
        <f>IF(AZ$16&gt;0,SUM(AZ9:AZ13)*Assumptions!$B$65,0)</f>
        <v>2915.010570539926</v>
      </c>
      <c r="BA44" s="3">
        <f>IF(BA$16&gt;0,SUM(BA9:BA13)*Assumptions!$B$65,0)</f>
        <v>2820.9779714902502</v>
      </c>
      <c r="BB44" s="3">
        <f>IF(BB$16&gt;0,SUM(BB9:BB13)*Assumptions!$B$65,0)</f>
        <v>2798.4101477183285</v>
      </c>
      <c r="BC44" s="3">
        <f>IF(BC$16&gt;0,SUM(BC9:BC13)*Assumptions!$B$65,0)</f>
        <v>2031.1041394729805</v>
      </c>
      <c r="BD44" s="3">
        <f>IF(BD$16&gt;0,SUM(BD9:BD13)*Assumptions!$B$65,0)</f>
        <v>1865.6067651455521</v>
      </c>
      <c r="BE44" s="37">
        <f t="shared" si="97"/>
        <v>27512.057829953916</v>
      </c>
      <c r="BF44" s="3">
        <f>IF(BF$16&gt;0,SUM(BF9:BF13)*Assumptions!$B$65,0)</f>
        <v>1527.9319406542072</v>
      </c>
      <c r="BG44" s="3">
        <f>IF(BG$16&gt;0,SUM(BG9:BG13)*Assumptions!$B$65,0)</f>
        <v>1624.4545229267178</v>
      </c>
      <c r="BH44" s="3">
        <f>IF(BH$16&gt;0,SUM(BH9:BH13)*Assumptions!$B$65,0)</f>
        <v>2291.8979109813108</v>
      </c>
      <c r="BI44" s="3">
        <f>IF(BI$16&gt;0,SUM(BI9:BI13)*Assumptions!$B$65,0)</f>
        <v>2710.8469914832717</v>
      </c>
      <c r="BJ44" s="3">
        <f>IF(BJ$16&gt;0,SUM(BJ9:BJ13)*Assumptions!$B$65,0)</f>
        <v>3055.8638813084144</v>
      </c>
      <c r="BK44" s="3">
        <f>IF(BK$16&gt;0,SUM(BK9:BK13)*Assumptions!$B$65,0)</f>
        <v>2710.8469914832717</v>
      </c>
      <c r="BL44" s="3">
        <f>IF(BL$16&gt;0,SUM(BL9:BL13)*Assumptions!$B$65,0)</f>
        <v>2546.553234423679</v>
      </c>
      <c r="BM44" s="3">
        <f>IF(BM$16&gt;0,SUM(BM9:BM13)*Assumptions!$B$65,0)</f>
        <v>3183.1915430295981</v>
      </c>
      <c r="BN44" s="3">
        <f>IF(BN$16&gt;0,SUM(BN9:BN13)*Assumptions!$B$65,0)</f>
        <v>3080.5079448673532</v>
      </c>
      <c r="BO44" s="3">
        <f>IF(BO$16&gt;0,SUM(BO9:BO13)*Assumptions!$B$65,0)</f>
        <v>3055.8638813084144</v>
      </c>
      <c r="BP44" s="3">
        <f>IF(BP$16&gt;0,SUM(BP9:BP13)*Assumptions!$B$65,0)</f>
        <v>2217.9657203044949</v>
      </c>
      <c r="BQ44" s="3">
        <f>IF(BQ$16&gt;0,SUM(BQ9:BQ13)*Assumptions!$B$65,0)</f>
        <v>2037.2425875389433</v>
      </c>
      <c r="BR44" s="37">
        <f t="shared" si="98"/>
        <v>30043.167150309677</v>
      </c>
      <c r="BS44" s="37">
        <f t="shared" si="99"/>
        <v>126577.35329795191</v>
      </c>
    </row>
    <row r="46" spans="1:71" ht="15.75" customHeight="1">
      <c r="A46" s="2"/>
      <c r="B46" s="21"/>
      <c r="C46" s="24" t="s">
        <v>49</v>
      </c>
      <c r="D46" s="24"/>
      <c r="E46" s="24"/>
      <c r="F46" s="3">
        <f>Assumptions!$B$66</f>
        <v>105.25</v>
      </c>
      <c r="G46" s="3">
        <f>Assumptions!$B$66</f>
        <v>105.25</v>
      </c>
      <c r="H46" s="3">
        <f>Assumptions!$B$66</f>
        <v>105.25</v>
      </c>
      <c r="I46" s="3">
        <f>Assumptions!$B$66</f>
        <v>105.25</v>
      </c>
      <c r="J46" s="3">
        <f>Assumptions!$B$66</f>
        <v>105.25</v>
      </c>
      <c r="K46" s="3">
        <f>Assumptions!$B$66</f>
        <v>105.25</v>
      </c>
      <c r="L46" s="3">
        <f>Assumptions!$B$66</f>
        <v>105.25</v>
      </c>
      <c r="M46" s="3">
        <f>Assumptions!$B$66</f>
        <v>105.25</v>
      </c>
      <c r="N46" s="3">
        <f>Assumptions!$B$66</f>
        <v>105.25</v>
      </c>
      <c r="O46" s="3">
        <f>Assumptions!$B$66</f>
        <v>105.25</v>
      </c>
      <c r="P46" s="3">
        <f>Assumptions!$B$66</f>
        <v>105.25</v>
      </c>
      <c r="Q46" s="3">
        <f>Assumptions!$B$66</f>
        <v>105.25</v>
      </c>
      <c r="R46" s="37">
        <f t="shared" si="94"/>
        <v>1263</v>
      </c>
      <c r="S46" s="3">
        <f>Assumptions!$H$66</f>
        <v>107.355</v>
      </c>
      <c r="T46" s="3">
        <f>Assumptions!$H$66</f>
        <v>107.355</v>
      </c>
      <c r="U46" s="3">
        <f>Assumptions!$H$66</f>
        <v>107.355</v>
      </c>
      <c r="V46" s="3">
        <f>Assumptions!$H$66</f>
        <v>107.355</v>
      </c>
      <c r="W46" s="3">
        <f>Assumptions!$H$66</f>
        <v>107.355</v>
      </c>
      <c r="X46" s="3">
        <f>Assumptions!$H$66</f>
        <v>107.355</v>
      </c>
      <c r="Y46" s="3">
        <f>Assumptions!$H$66</f>
        <v>107.355</v>
      </c>
      <c r="Z46" s="3">
        <f>Assumptions!$H$66</f>
        <v>107.355</v>
      </c>
      <c r="AA46" s="3">
        <f>Assumptions!$H$66</f>
        <v>107.355</v>
      </c>
      <c r="AB46" s="3">
        <f>Assumptions!$H$66</f>
        <v>107.355</v>
      </c>
      <c r="AC46" s="3">
        <f>Assumptions!$H$66</f>
        <v>107.355</v>
      </c>
      <c r="AD46" s="3">
        <f>Assumptions!$H$66</f>
        <v>107.355</v>
      </c>
      <c r="AE46" s="37">
        <f t="shared" si="95"/>
        <v>1288.26</v>
      </c>
      <c r="AF46" s="3">
        <f>Assumptions!$I$66</f>
        <v>109.50210000000001</v>
      </c>
      <c r="AG46" s="3">
        <f>Assumptions!$I$66</f>
        <v>109.50210000000001</v>
      </c>
      <c r="AH46" s="3">
        <f>Assumptions!$I$66</f>
        <v>109.50210000000001</v>
      </c>
      <c r="AI46" s="3">
        <f>Assumptions!$I$66</f>
        <v>109.50210000000001</v>
      </c>
      <c r="AJ46" s="3">
        <f>Assumptions!$I$66</f>
        <v>109.50210000000001</v>
      </c>
      <c r="AK46" s="3">
        <f>Assumptions!$I$66</f>
        <v>109.50210000000001</v>
      </c>
      <c r="AL46" s="3">
        <f>Assumptions!$I$66</f>
        <v>109.50210000000001</v>
      </c>
      <c r="AM46" s="3">
        <f>Assumptions!$I$66</f>
        <v>109.50210000000001</v>
      </c>
      <c r="AN46" s="3">
        <f>Assumptions!$I$66</f>
        <v>109.50210000000001</v>
      </c>
      <c r="AO46" s="3">
        <f>Assumptions!$I$66</f>
        <v>109.50210000000001</v>
      </c>
      <c r="AP46" s="3">
        <f>Assumptions!$I$66</f>
        <v>109.50210000000001</v>
      </c>
      <c r="AQ46" s="3">
        <f>Assumptions!$I$66</f>
        <v>109.50210000000001</v>
      </c>
      <c r="AR46" s="37">
        <f t="shared" si="96"/>
        <v>1314.0252</v>
      </c>
      <c r="AS46" s="3">
        <f>Assumptions!$J$66</f>
        <v>111.69214200000002</v>
      </c>
      <c r="AT46" s="3">
        <f>Assumptions!$J$66</f>
        <v>111.69214200000002</v>
      </c>
      <c r="AU46" s="3">
        <f>Assumptions!$J$66</f>
        <v>111.69214200000002</v>
      </c>
      <c r="AV46" s="3">
        <f>Assumptions!$J$66</f>
        <v>111.69214200000002</v>
      </c>
      <c r="AW46" s="3">
        <f>Assumptions!$J$66</f>
        <v>111.69214200000002</v>
      </c>
      <c r="AX46" s="3">
        <f>Assumptions!$J$66</f>
        <v>111.69214200000002</v>
      </c>
      <c r="AY46" s="3">
        <f>Assumptions!$J$66</f>
        <v>111.69214200000002</v>
      </c>
      <c r="AZ46" s="3">
        <f>Assumptions!$J$66</f>
        <v>111.69214200000002</v>
      </c>
      <c r="BA46" s="3">
        <f>Assumptions!$J$66</f>
        <v>111.69214200000002</v>
      </c>
      <c r="BB46" s="3">
        <f>Assumptions!$J$66</f>
        <v>111.69214200000002</v>
      </c>
      <c r="BC46" s="3">
        <f>Assumptions!$J$66</f>
        <v>111.69214200000002</v>
      </c>
      <c r="BD46" s="3">
        <f>Assumptions!$J$66</f>
        <v>111.69214200000002</v>
      </c>
      <c r="BE46" s="37">
        <f t="shared" si="97"/>
        <v>1340.3057040000003</v>
      </c>
      <c r="BF46" s="3">
        <f>Assumptions!$K$66</f>
        <v>113.92598484000003</v>
      </c>
      <c r="BG46" s="3">
        <f>Assumptions!$K$66</f>
        <v>113.92598484000003</v>
      </c>
      <c r="BH46" s="3">
        <f>Assumptions!$K$66</f>
        <v>113.92598484000003</v>
      </c>
      <c r="BI46" s="3">
        <f>Assumptions!$K$66</f>
        <v>113.92598484000003</v>
      </c>
      <c r="BJ46" s="3">
        <f>Assumptions!$K$66</f>
        <v>113.92598484000003</v>
      </c>
      <c r="BK46" s="3">
        <f>Assumptions!$K$66</f>
        <v>113.92598484000003</v>
      </c>
      <c r="BL46" s="3">
        <f>Assumptions!$K$66</f>
        <v>113.92598484000003</v>
      </c>
      <c r="BM46" s="3">
        <f>Assumptions!$K$66</f>
        <v>113.92598484000003</v>
      </c>
      <c r="BN46" s="3">
        <f>Assumptions!$K$66</f>
        <v>113.92598484000003</v>
      </c>
      <c r="BO46" s="3">
        <f>Assumptions!$K$66</f>
        <v>113.92598484000003</v>
      </c>
      <c r="BP46" s="3">
        <f>Assumptions!$K$66</f>
        <v>113.92598484000003</v>
      </c>
      <c r="BQ46" s="3">
        <f>Assumptions!$K$66</f>
        <v>113.92598484000003</v>
      </c>
      <c r="BR46" s="37">
        <f t="shared" si="98"/>
        <v>1367.1118180800001</v>
      </c>
      <c r="BS46" s="37">
        <f t="shared" si="99"/>
        <v>6572.702722080001</v>
      </c>
    </row>
    <row r="47" spans="1:71" ht="15.75" customHeight="1">
      <c r="A47" s="2"/>
      <c r="B47" s="21"/>
      <c r="C47" s="21" t="s">
        <v>50</v>
      </c>
      <c r="D47" s="24"/>
      <c r="E47" s="24"/>
      <c r="F47" s="3">
        <f>IF(G$9&gt;0,Assumptions!$B$67,0)</f>
        <v>200</v>
      </c>
      <c r="G47" s="3">
        <f>IF(H$9&gt;0,Assumptions!$B$67,0)</f>
        <v>200</v>
      </c>
      <c r="H47" s="3">
        <f>IF(I$9&gt;0,Assumptions!$B$67,0)</f>
        <v>200</v>
      </c>
      <c r="I47" s="3">
        <f>IF(J$9&gt;0,Assumptions!$B$67,0)</f>
        <v>200</v>
      </c>
      <c r="J47" s="3">
        <f>IF(K$9&gt;0,Assumptions!$B$67,0)</f>
        <v>200</v>
      </c>
      <c r="K47" s="3">
        <f>IF(L$9&gt;0,Assumptions!$B$67,0)</f>
        <v>200</v>
      </c>
      <c r="L47" s="3">
        <f>IF(M$9&gt;0,Assumptions!$B$67,0)</f>
        <v>200</v>
      </c>
      <c r="M47" s="3">
        <f>IF(N$9&gt;0,Assumptions!$B$67,0)</f>
        <v>200</v>
      </c>
      <c r="N47" s="3">
        <f>IF(O$9&gt;0,Assumptions!$B$67,0)</f>
        <v>200</v>
      </c>
      <c r="O47" s="3">
        <f>IF(P$9&gt;0,Assumptions!$B$67,0)</f>
        <v>200</v>
      </c>
      <c r="P47" s="3">
        <f>IF(Q$9&gt;0,Assumptions!$B$67,0)</f>
        <v>200</v>
      </c>
      <c r="Q47" s="3">
        <f>IF(R$9&gt;0,Assumptions!$B$67,0)</f>
        <v>200</v>
      </c>
      <c r="R47" s="37">
        <f t="shared" si="94"/>
        <v>2400</v>
      </c>
      <c r="S47" s="3">
        <f>Assumptions!$B$67*(1+Assumptions!$D$67)</f>
        <v>210</v>
      </c>
      <c r="T47" s="3">
        <f>Assumptions!$B$67*(1+Assumptions!$D$67)</f>
        <v>210</v>
      </c>
      <c r="U47" s="3">
        <f>Assumptions!$B$67*(1+Assumptions!$D$67)</f>
        <v>210</v>
      </c>
      <c r="V47" s="3">
        <f>Assumptions!$B$67*(1+Assumptions!$D$67)</f>
        <v>210</v>
      </c>
      <c r="W47" s="3">
        <f>Assumptions!$B$67*(1+Assumptions!$D$67)</f>
        <v>210</v>
      </c>
      <c r="X47" s="3">
        <f>Assumptions!$B$67*(1+Assumptions!$D$67)</f>
        <v>210</v>
      </c>
      <c r="Y47" s="3">
        <f>Assumptions!$B$67*(1+Assumptions!$D$67)</f>
        <v>210</v>
      </c>
      <c r="Z47" s="3">
        <f>Assumptions!$B$67*(1+Assumptions!$D$67)</f>
        <v>210</v>
      </c>
      <c r="AA47" s="3">
        <f>Assumptions!$B$67*(1+Assumptions!$D$67)</f>
        <v>210</v>
      </c>
      <c r="AB47" s="3">
        <f>Assumptions!$B$67*(1+Assumptions!$D$67)</f>
        <v>210</v>
      </c>
      <c r="AC47" s="3">
        <f>Assumptions!$B$67*(1+Assumptions!$D$67)</f>
        <v>210</v>
      </c>
      <c r="AD47" s="3">
        <f>Assumptions!$B$67*(1+Assumptions!$D$67)</f>
        <v>210</v>
      </c>
      <c r="AE47" s="37">
        <f t="shared" si="95"/>
        <v>2520</v>
      </c>
      <c r="AF47" s="3">
        <f>Assumptions!$B$67*(1+Assumptions!$D$67)*(1+Assumptions!$E$67)</f>
        <v>220.5</v>
      </c>
      <c r="AG47" s="3">
        <f>Assumptions!$B$67*(1+Assumptions!$D$67)*(1+Assumptions!$E$67)</f>
        <v>220.5</v>
      </c>
      <c r="AH47" s="3">
        <f>Assumptions!$B$67*(1+Assumptions!$D$67)*(1+Assumptions!$E$67)</f>
        <v>220.5</v>
      </c>
      <c r="AI47" s="3">
        <f>Assumptions!$B$67*(1+Assumptions!$D$67)*(1+Assumptions!$E$67)</f>
        <v>220.5</v>
      </c>
      <c r="AJ47" s="3">
        <f>Assumptions!$B$67*(1+Assumptions!$D$67)*(1+Assumptions!$E$67)</f>
        <v>220.5</v>
      </c>
      <c r="AK47" s="3">
        <f>Assumptions!$B$67*(1+Assumptions!$D$67)*(1+Assumptions!$E$67)</f>
        <v>220.5</v>
      </c>
      <c r="AL47" s="3">
        <f>Assumptions!$B$67*(1+Assumptions!$D$67)*(1+Assumptions!$E$67)</f>
        <v>220.5</v>
      </c>
      <c r="AM47" s="3">
        <f>Assumptions!$B$67*(1+Assumptions!$D$67)*(1+Assumptions!$E$67)</f>
        <v>220.5</v>
      </c>
      <c r="AN47" s="3">
        <f>Assumptions!$B$67*(1+Assumptions!$D$67)*(1+Assumptions!$E$67)</f>
        <v>220.5</v>
      </c>
      <c r="AO47" s="3">
        <f>Assumptions!$B$67*(1+Assumptions!$D$67)*(1+Assumptions!$E$67)</f>
        <v>220.5</v>
      </c>
      <c r="AP47" s="3">
        <f>Assumptions!$B$67*(1+Assumptions!$D$67)*(1+Assumptions!$E$67)</f>
        <v>220.5</v>
      </c>
      <c r="AQ47" s="3">
        <f>Assumptions!$B$67*(1+Assumptions!$D$67)*(1+Assumptions!$E$67)</f>
        <v>220.5</v>
      </c>
      <c r="AR47" s="37">
        <f t="shared" si="96"/>
        <v>2646</v>
      </c>
      <c r="AS47" s="3">
        <f>Assumptions!$B$67*(1+Assumptions!$D$67)*(1+Assumptions!$E$67)*(1+Assumptions!$F$67)</f>
        <v>231.52500000000001</v>
      </c>
      <c r="AT47" s="3">
        <f>Assumptions!$B$67*(1+Assumptions!$D$67)*(1+Assumptions!$E$67)*(1+Assumptions!$F$67)</f>
        <v>231.52500000000001</v>
      </c>
      <c r="AU47" s="3">
        <f>Assumptions!$B$67*(1+Assumptions!$D$67)*(1+Assumptions!$E$67)*(1+Assumptions!$F$67)</f>
        <v>231.52500000000001</v>
      </c>
      <c r="AV47" s="3">
        <f>Assumptions!$B$67*(1+Assumptions!$D$67)*(1+Assumptions!$E$67)*(1+Assumptions!$F$67)</f>
        <v>231.52500000000001</v>
      </c>
      <c r="AW47" s="3">
        <f>Assumptions!$B$67*(1+Assumptions!$D$67)*(1+Assumptions!$E$67)*(1+Assumptions!$F$67)</f>
        <v>231.52500000000001</v>
      </c>
      <c r="AX47" s="3">
        <f>Assumptions!$B$67*(1+Assumptions!$D$67)*(1+Assumptions!$E$67)*(1+Assumptions!$F$67)</f>
        <v>231.52500000000001</v>
      </c>
      <c r="AY47" s="3">
        <f>Assumptions!$B$67*(1+Assumptions!$D$67)*(1+Assumptions!$E$67)*(1+Assumptions!$F$67)</f>
        <v>231.52500000000001</v>
      </c>
      <c r="AZ47" s="3">
        <f>Assumptions!$B$67*(1+Assumptions!$D$67)*(1+Assumptions!$E$67)*(1+Assumptions!$F$67)</f>
        <v>231.52500000000001</v>
      </c>
      <c r="BA47" s="3">
        <f>Assumptions!$B$67*(1+Assumptions!$D$67)*(1+Assumptions!$E$67)*(1+Assumptions!$F$67)</f>
        <v>231.52500000000001</v>
      </c>
      <c r="BB47" s="3">
        <f>Assumptions!$B$67*(1+Assumptions!$D$67)*(1+Assumptions!$E$67)*(1+Assumptions!$F$67)</f>
        <v>231.52500000000001</v>
      </c>
      <c r="BC47" s="3">
        <f>Assumptions!$B$67*(1+Assumptions!$D$67)*(1+Assumptions!$E$67)*(1+Assumptions!$F$67)</f>
        <v>231.52500000000001</v>
      </c>
      <c r="BD47" s="3">
        <f>Assumptions!$B$67*(1+Assumptions!$D$67)*(1+Assumptions!$E$67)*(1+Assumptions!$F$67)</f>
        <v>231.52500000000001</v>
      </c>
      <c r="BE47" s="37">
        <f t="shared" si="97"/>
        <v>2778.3000000000006</v>
      </c>
      <c r="BF47" s="3">
        <f>Assumptions!$B$67*(1+Assumptions!$D$67)*(1+Assumptions!$E$67)*(1+Assumptions!$F$67)*(1+Assumptions!$G$67)</f>
        <v>243.10125000000002</v>
      </c>
      <c r="BG47" s="3">
        <f>Assumptions!$B$67*(1+Assumptions!$D$67)*(1+Assumptions!$E$67)*(1+Assumptions!$F$67)*(1+Assumptions!$G$67)</f>
        <v>243.10125000000002</v>
      </c>
      <c r="BH47" s="3">
        <f>Assumptions!$B$67*(1+Assumptions!$D$67)*(1+Assumptions!$E$67)*(1+Assumptions!$F$67)*(1+Assumptions!$G$67)</f>
        <v>243.10125000000002</v>
      </c>
      <c r="BI47" s="3">
        <f>Assumptions!$B$67*(1+Assumptions!$D$67)*(1+Assumptions!$E$67)*(1+Assumptions!$F$67)*(1+Assumptions!$G$67)</f>
        <v>243.10125000000002</v>
      </c>
      <c r="BJ47" s="3">
        <f>Assumptions!$B$67*(1+Assumptions!$D$67)*(1+Assumptions!$E$67)*(1+Assumptions!$F$67)*(1+Assumptions!$G$67)</f>
        <v>243.10125000000002</v>
      </c>
      <c r="BK47" s="3">
        <f>Assumptions!$B$67*(1+Assumptions!$D$67)*(1+Assumptions!$E$67)*(1+Assumptions!$F$67)*(1+Assumptions!$G$67)</f>
        <v>243.10125000000002</v>
      </c>
      <c r="BL47" s="3">
        <f>Assumptions!$B$67*(1+Assumptions!$D$67)*(1+Assumptions!$E$67)*(1+Assumptions!$F$67)*(1+Assumptions!$G$67)</f>
        <v>243.10125000000002</v>
      </c>
      <c r="BM47" s="3">
        <f>Assumptions!$B$67*(1+Assumptions!$D$67)*(1+Assumptions!$E$67)*(1+Assumptions!$F$67)*(1+Assumptions!$G$67)</f>
        <v>243.10125000000002</v>
      </c>
      <c r="BN47" s="3">
        <f>Assumptions!$B$67*(1+Assumptions!$D$67)*(1+Assumptions!$E$67)*(1+Assumptions!$F$67)*(1+Assumptions!$G$67)</f>
        <v>243.10125000000002</v>
      </c>
      <c r="BO47" s="3">
        <f>Assumptions!$B$67*(1+Assumptions!$D$67)*(1+Assumptions!$E$67)*(1+Assumptions!$F$67)*(1+Assumptions!$G$67)</f>
        <v>243.10125000000002</v>
      </c>
      <c r="BP47" s="3">
        <f>Assumptions!$B$67*(1+Assumptions!$D$67)*(1+Assumptions!$E$67)*(1+Assumptions!$F$67)*(1+Assumptions!$G$67)</f>
        <v>243.10125000000002</v>
      </c>
      <c r="BQ47" s="3">
        <f>Assumptions!$B$67*(1+Assumptions!$D$67)*(1+Assumptions!$E$67)*(1+Assumptions!$F$67)*(1+Assumptions!$G$67)</f>
        <v>243.10125000000002</v>
      </c>
      <c r="BR47" s="37">
        <f t="shared" si="98"/>
        <v>2917.2150000000006</v>
      </c>
      <c r="BS47" s="37">
        <f t="shared" si="99"/>
        <v>13261.515000000001</v>
      </c>
    </row>
    <row r="48" spans="1:71" ht="15.75" customHeight="1">
      <c r="A48" s="2"/>
      <c r="B48" s="21"/>
      <c r="C48" s="24" t="s">
        <v>51</v>
      </c>
      <c r="D48" s="24"/>
      <c r="E48" s="2"/>
      <c r="F48" s="3">
        <f>Assumptions!$B$68</f>
        <v>900</v>
      </c>
      <c r="G48" s="3">
        <f>Assumptions!$B$68</f>
        <v>900</v>
      </c>
      <c r="H48" s="3">
        <f>Assumptions!$B$68</f>
        <v>900</v>
      </c>
      <c r="I48" s="3">
        <f>Assumptions!$B$68</f>
        <v>900</v>
      </c>
      <c r="J48" s="3">
        <f>Assumptions!$B$68</f>
        <v>900</v>
      </c>
      <c r="K48" s="3">
        <f>Assumptions!$B$68</f>
        <v>900</v>
      </c>
      <c r="L48" s="3">
        <f>Assumptions!$B$68</f>
        <v>900</v>
      </c>
      <c r="M48" s="3">
        <f>Assumptions!$B$68</f>
        <v>900</v>
      </c>
      <c r="N48" s="3">
        <f>Assumptions!$B$68</f>
        <v>900</v>
      </c>
      <c r="O48" s="3">
        <f>Assumptions!$B$68</f>
        <v>900</v>
      </c>
      <c r="P48" s="3">
        <f>Assumptions!$B$68</f>
        <v>900</v>
      </c>
      <c r="Q48" s="3">
        <f>Assumptions!$B$68</f>
        <v>900</v>
      </c>
      <c r="R48" s="37">
        <f t="shared" si="94"/>
        <v>10800</v>
      </c>
      <c r="S48" s="3">
        <f>Assumptions!$B$68*(1+Assumptions!$D$68)</f>
        <v>945</v>
      </c>
      <c r="T48" s="3">
        <f>Assumptions!$B$68*(1+Assumptions!$D$68)</f>
        <v>945</v>
      </c>
      <c r="U48" s="3">
        <f>Assumptions!$B$68*(1+Assumptions!$D$68)</f>
        <v>945</v>
      </c>
      <c r="V48" s="3">
        <f>Assumptions!$B$68*(1+Assumptions!$D$68)</f>
        <v>945</v>
      </c>
      <c r="W48" s="3">
        <f>Assumptions!$B$68*(1+Assumptions!$D$68)</f>
        <v>945</v>
      </c>
      <c r="X48" s="3">
        <f>Assumptions!$B$68*(1+Assumptions!$D$68)</f>
        <v>945</v>
      </c>
      <c r="Y48" s="3">
        <f>Assumptions!$B$68*(1+Assumptions!$D$68)</f>
        <v>945</v>
      </c>
      <c r="Z48" s="3">
        <f>Assumptions!$B$68*(1+Assumptions!$D$68)</f>
        <v>945</v>
      </c>
      <c r="AA48" s="3">
        <f>Assumptions!$B$68*(1+Assumptions!$D$68)</f>
        <v>945</v>
      </c>
      <c r="AB48" s="3">
        <f>Assumptions!$B$68*(1+Assumptions!$D$68)</f>
        <v>945</v>
      </c>
      <c r="AC48" s="3">
        <f>Assumptions!$B$68*(1+Assumptions!$D$68)</f>
        <v>945</v>
      </c>
      <c r="AD48" s="3">
        <f>Assumptions!$B$68*(1+Assumptions!$D$68)</f>
        <v>945</v>
      </c>
      <c r="AE48" s="37">
        <f t="shared" si="95"/>
        <v>11340</v>
      </c>
      <c r="AF48" s="3">
        <f>Assumptions!$B$68*(1+Assumptions!$D$68)*(1+Assumptions!$E$68)</f>
        <v>982.80000000000007</v>
      </c>
      <c r="AG48" s="3">
        <f>Assumptions!$B$68*(1+Assumptions!$D$68)*(1+Assumptions!$E$68)</f>
        <v>982.80000000000007</v>
      </c>
      <c r="AH48" s="3">
        <f>Assumptions!$B$68*(1+Assumptions!$D$68)*(1+Assumptions!$E$68)</f>
        <v>982.80000000000007</v>
      </c>
      <c r="AI48" s="3">
        <f>Assumptions!$B$68*(1+Assumptions!$D$68)*(1+Assumptions!$E$68)</f>
        <v>982.80000000000007</v>
      </c>
      <c r="AJ48" s="3">
        <f>Assumptions!$B$68*(1+Assumptions!$D$68)*(1+Assumptions!$E$68)</f>
        <v>982.80000000000007</v>
      </c>
      <c r="AK48" s="3">
        <f>Assumptions!$B$68*(1+Assumptions!$D$68)*(1+Assumptions!$E$68)</f>
        <v>982.80000000000007</v>
      </c>
      <c r="AL48" s="3">
        <f>Assumptions!$B$68*(1+Assumptions!$D$68)*(1+Assumptions!$E$68)</f>
        <v>982.80000000000007</v>
      </c>
      <c r="AM48" s="3">
        <f>Assumptions!$B$68*(1+Assumptions!$D$68)*(1+Assumptions!$E$68)</f>
        <v>982.80000000000007</v>
      </c>
      <c r="AN48" s="3">
        <f>Assumptions!$B$68*(1+Assumptions!$D$68)*(1+Assumptions!$E$68)</f>
        <v>982.80000000000007</v>
      </c>
      <c r="AO48" s="3">
        <f>Assumptions!$B$68*(1+Assumptions!$D$68)*(1+Assumptions!$E$68)</f>
        <v>982.80000000000007</v>
      </c>
      <c r="AP48" s="3">
        <f>Assumptions!$B$68*(1+Assumptions!$D$68)*(1+Assumptions!$E$68)</f>
        <v>982.80000000000007</v>
      </c>
      <c r="AQ48" s="3">
        <f>Assumptions!$B$68*(1+Assumptions!$D$68)*(1+Assumptions!$E$68)</f>
        <v>982.80000000000007</v>
      </c>
      <c r="AR48" s="37">
        <f t="shared" si="96"/>
        <v>11793.599999999999</v>
      </c>
      <c r="AS48" s="3">
        <f>Assumptions!$B$68*(1+Assumptions!$D$68)*(1+Assumptions!$E$68)*(1+Assumptions!$F$68)</f>
        <v>1012.2840000000001</v>
      </c>
      <c r="AT48" s="3">
        <f>Assumptions!$B$68*(1+Assumptions!$D$68)*(1+Assumptions!$E$68)*(1+Assumptions!$F$68)</f>
        <v>1012.2840000000001</v>
      </c>
      <c r="AU48" s="3">
        <f>Assumptions!$B$68*(1+Assumptions!$D$68)*(1+Assumptions!$E$68)*(1+Assumptions!$F$68)</f>
        <v>1012.2840000000001</v>
      </c>
      <c r="AV48" s="3">
        <f>Assumptions!$B$68*(1+Assumptions!$D$68)*(1+Assumptions!$E$68)*(1+Assumptions!$F$68)</f>
        <v>1012.2840000000001</v>
      </c>
      <c r="AW48" s="3">
        <f>Assumptions!$B$68*(1+Assumptions!$D$68)*(1+Assumptions!$E$68)*(1+Assumptions!$F$68)</f>
        <v>1012.2840000000001</v>
      </c>
      <c r="AX48" s="3">
        <f>Assumptions!$B$68*(1+Assumptions!$D$68)*(1+Assumptions!$E$68)*(1+Assumptions!$F$68)</f>
        <v>1012.2840000000001</v>
      </c>
      <c r="AY48" s="3">
        <f>Assumptions!$B$68*(1+Assumptions!$D$68)*(1+Assumptions!$E$68)*(1+Assumptions!$F$68)</f>
        <v>1012.2840000000001</v>
      </c>
      <c r="AZ48" s="3">
        <f>Assumptions!$B$68*(1+Assumptions!$D$68)*(1+Assumptions!$E$68)*(1+Assumptions!$F$68)</f>
        <v>1012.2840000000001</v>
      </c>
      <c r="BA48" s="3">
        <f>Assumptions!$B$68*(1+Assumptions!$D$68)*(1+Assumptions!$E$68)*(1+Assumptions!$F$68)</f>
        <v>1012.2840000000001</v>
      </c>
      <c r="BB48" s="3">
        <f>Assumptions!$B$68*(1+Assumptions!$D$68)*(1+Assumptions!$E$68)*(1+Assumptions!$F$68)</f>
        <v>1012.2840000000001</v>
      </c>
      <c r="BC48" s="3">
        <f>Assumptions!$B$68*(1+Assumptions!$D$68)*(1+Assumptions!$E$68)*(1+Assumptions!$F$68)</f>
        <v>1012.2840000000001</v>
      </c>
      <c r="BD48" s="3">
        <f>Assumptions!$B$68*(1+Assumptions!$D$68)*(1+Assumptions!$E$68)*(1+Assumptions!$F$68)</f>
        <v>1012.2840000000001</v>
      </c>
      <c r="BE48" s="37">
        <f t="shared" si="97"/>
        <v>12147.407999999998</v>
      </c>
      <c r="BF48" s="3">
        <f>Assumptions!$B$68*(1+Assumptions!$D$68)*(1+Assumptions!$E$68)*(1+Assumptions!$F$68)*(1+Assumptions!$G$68)</f>
        <v>1032.5296800000001</v>
      </c>
      <c r="BG48" s="3">
        <f>Assumptions!$B$68*(1+Assumptions!$D$68)*(1+Assumptions!$E$68)*(1+Assumptions!$F$68)*(1+Assumptions!$G$68)</f>
        <v>1032.5296800000001</v>
      </c>
      <c r="BH48" s="3">
        <f>Assumptions!$B$68*(1+Assumptions!$D$68)*(1+Assumptions!$E$68)*(1+Assumptions!$F$68)*(1+Assumptions!$G$68)</f>
        <v>1032.5296800000001</v>
      </c>
      <c r="BI48" s="3">
        <f>Assumptions!$B$68*(1+Assumptions!$D$68)*(1+Assumptions!$E$68)*(1+Assumptions!$F$68)*(1+Assumptions!$G$68)</f>
        <v>1032.5296800000001</v>
      </c>
      <c r="BJ48" s="3">
        <f>Assumptions!$B$68*(1+Assumptions!$D$68)*(1+Assumptions!$E$68)*(1+Assumptions!$F$68)*(1+Assumptions!$G$68)</f>
        <v>1032.5296800000001</v>
      </c>
      <c r="BK48" s="3">
        <f>Assumptions!$B$68*(1+Assumptions!$D$68)*(1+Assumptions!$E$68)*(1+Assumptions!$F$68)*(1+Assumptions!$G$68)</f>
        <v>1032.5296800000001</v>
      </c>
      <c r="BL48" s="3">
        <f>Assumptions!$B$68*(1+Assumptions!$D$68)*(1+Assumptions!$E$68)*(1+Assumptions!$F$68)*(1+Assumptions!$G$68)</f>
        <v>1032.5296800000001</v>
      </c>
      <c r="BM48" s="3">
        <f>Assumptions!$B$68*(1+Assumptions!$D$68)*(1+Assumptions!$E$68)*(1+Assumptions!$F$68)*(1+Assumptions!$G$68)</f>
        <v>1032.5296800000001</v>
      </c>
      <c r="BN48" s="3">
        <f>Assumptions!$B$68*(1+Assumptions!$D$68)*(1+Assumptions!$E$68)*(1+Assumptions!$F$68)*(1+Assumptions!$G$68)</f>
        <v>1032.5296800000001</v>
      </c>
      <c r="BO48" s="3">
        <f>Assumptions!$B$68*(1+Assumptions!$D$68)*(1+Assumptions!$E$68)*(1+Assumptions!$F$68)*(1+Assumptions!$G$68)</f>
        <v>1032.5296800000001</v>
      </c>
      <c r="BP48" s="3">
        <f>Assumptions!$B$68*(1+Assumptions!$D$68)*(1+Assumptions!$E$68)*(1+Assumptions!$F$68)*(1+Assumptions!$G$68)</f>
        <v>1032.5296800000001</v>
      </c>
      <c r="BQ48" s="3">
        <f>Assumptions!$B$68*(1+Assumptions!$D$68)*(1+Assumptions!$E$68)*(1+Assumptions!$F$68)*(1+Assumptions!$G$68)</f>
        <v>1032.5296800000001</v>
      </c>
      <c r="BR48" s="37">
        <f t="shared" si="98"/>
        <v>12390.356159999998</v>
      </c>
      <c r="BS48" s="37">
        <f t="shared" si="99"/>
        <v>58471.36415999999</v>
      </c>
    </row>
    <row r="49" spans="1:72" ht="15.75" customHeight="1">
      <c r="A49" s="2"/>
      <c r="B49" s="21"/>
      <c r="C49" s="24" t="s">
        <v>52</v>
      </c>
      <c r="D49" s="24"/>
      <c r="E49" s="2"/>
      <c r="F49" s="3">
        <f>IF(G$9&gt;0,Assumptions!$B$69,0)</f>
        <v>139.58333333333334</v>
      </c>
      <c r="G49" s="3">
        <f>IF(H$9&gt;0,Assumptions!$B$69,0)</f>
        <v>139.58333333333334</v>
      </c>
      <c r="H49" s="3">
        <f>IF(I$9&gt;0,Assumptions!$B$69,0)</f>
        <v>139.58333333333334</v>
      </c>
      <c r="I49" s="3">
        <f>IF(J$9&gt;0,Assumptions!$B$69,0)</f>
        <v>139.58333333333334</v>
      </c>
      <c r="J49" s="3">
        <f>IF(K$9&gt;0,Assumptions!$B$69,0)</f>
        <v>139.58333333333334</v>
      </c>
      <c r="K49" s="3">
        <f>IF(L$9&gt;0,Assumptions!$B$69,0)</f>
        <v>139.58333333333334</v>
      </c>
      <c r="L49" s="3">
        <f>IF(M$9&gt;0,Assumptions!$B$69,0)</f>
        <v>139.58333333333334</v>
      </c>
      <c r="M49" s="3">
        <f>IF(N$9&gt;0,Assumptions!$B$69,0)</f>
        <v>139.58333333333334</v>
      </c>
      <c r="N49" s="3">
        <f>IF(O$9&gt;0,Assumptions!$B$69,0)</f>
        <v>139.58333333333334</v>
      </c>
      <c r="O49" s="3">
        <f>IF(P$9&gt;0,Assumptions!$B$69,0)</f>
        <v>139.58333333333334</v>
      </c>
      <c r="P49" s="3">
        <f>IF(Q$9&gt;0,Assumptions!$B$69,0)</f>
        <v>139.58333333333334</v>
      </c>
      <c r="Q49" s="3">
        <f>IF(R$9&gt;0,Assumptions!$B$69,0)</f>
        <v>139.58333333333334</v>
      </c>
      <c r="R49" s="37">
        <f t="shared" si="94"/>
        <v>1674.9999999999998</v>
      </c>
      <c r="S49" s="3">
        <f>IF(T$9&gt;0,Assumptions!$B$69,0)</f>
        <v>139.58333333333334</v>
      </c>
      <c r="T49" s="3">
        <f>IF(U$9&gt;0,Assumptions!$B$69,0)</f>
        <v>139.58333333333334</v>
      </c>
      <c r="U49" s="3">
        <f>IF(V$9&gt;0,Assumptions!$B$69,0)</f>
        <v>139.58333333333334</v>
      </c>
      <c r="V49" s="3">
        <f>IF(W$9&gt;0,Assumptions!$B$69,0)</f>
        <v>139.58333333333334</v>
      </c>
      <c r="W49" s="3">
        <f>IF(X$9&gt;0,Assumptions!$B$69,0)</f>
        <v>139.58333333333334</v>
      </c>
      <c r="X49" s="3">
        <f>IF(Y$9&gt;0,Assumptions!$B$69,0)</f>
        <v>139.58333333333334</v>
      </c>
      <c r="Y49" s="3">
        <f>IF(Z$9&gt;0,Assumptions!$B$69,0)</f>
        <v>139.58333333333334</v>
      </c>
      <c r="Z49" s="3">
        <f>IF(AA$9&gt;0,Assumptions!$B$69,0)</f>
        <v>139.58333333333334</v>
      </c>
      <c r="AA49" s="3">
        <f>IF(AB$9&gt;0,Assumptions!$B$69,0)</f>
        <v>139.58333333333334</v>
      </c>
      <c r="AB49" s="3">
        <f>IF(AC$9&gt;0,Assumptions!$B$69,0)</f>
        <v>139.58333333333334</v>
      </c>
      <c r="AC49" s="3">
        <f>IF(AD$9&gt;0,Assumptions!$B$69,0)</f>
        <v>139.58333333333334</v>
      </c>
      <c r="AD49" s="3">
        <f>IF(AE$9&gt;0,Assumptions!$B$69,0)</f>
        <v>139.58333333333334</v>
      </c>
      <c r="AE49" s="37">
        <f t="shared" si="95"/>
        <v>1674.9999999999998</v>
      </c>
      <c r="AF49" s="3">
        <f>IF(AG$9&gt;0,Assumptions!$B$69,0)</f>
        <v>139.58333333333334</v>
      </c>
      <c r="AG49" s="3">
        <f>IF(AH$9&gt;0,Assumptions!$B$69,0)</f>
        <v>139.58333333333334</v>
      </c>
      <c r="AH49" s="3">
        <f>IF(AI$9&gt;0,Assumptions!$B$69,0)</f>
        <v>139.58333333333334</v>
      </c>
      <c r="AI49" s="3">
        <f>IF(AJ$9&gt;0,Assumptions!$B$69,0)</f>
        <v>139.58333333333334</v>
      </c>
      <c r="AJ49" s="3">
        <f>IF(AK$9&gt;0,Assumptions!$B$69,0)</f>
        <v>139.58333333333334</v>
      </c>
      <c r="AK49" s="3">
        <f>IF(AL$9&gt;0,Assumptions!$B$69,0)</f>
        <v>139.58333333333334</v>
      </c>
      <c r="AL49" s="3">
        <f>IF(AM$9&gt;0,Assumptions!$B$69,0)</f>
        <v>139.58333333333334</v>
      </c>
      <c r="AM49" s="3">
        <f>IF(AN$9&gt;0,Assumptions!$B$69,0)</f>
        <v>139.58333333333334</v>
      </c>
      <c r="AN49" s="3">
        <f>IF(AO$9&gt;0,Assumptions!$B$69,0)</f>
        <v>139.58333333333334</v>
      </c>
      <c r="AO49" s="3">
        <f>IF(AP$9&gt;0,Assumptions!$B$69,0)</f>
        <v>139.58333333333334</v>
      </c>
      <c r="AP49" s="3">
        <f>IF(AQ$9&gt;0,Assumptions!$B$69,0)</f>
        <v>139.58333333333334</v>
      </c>
      <c r="AQ49" s="3">
        <f>IF(AR$9&gt;0,Assumptions!$B$69,0)</f>
        <v>139.58333333333334</v>
      </c>
      <c r="AR49" s="37">
        <f t="shared" si="96"/>
        <v>1674.9999999999998</v>
      </c>
      <c r="AS49" s="3">
        <f>IF(AT$9&gt;0,Assumptions!$B$69,0)</f>
        <v>139.58333333333334</v>
      </c>
      <c r="AT49" s="3">
        <f>IF(AU$9&gt;0,Assumptions!$B$69,0)</f>
        <v>139.58333333333334</v>
      </c>
      <c r="AU49" s="3">
        <f>IF(AV$9&gt;0,Assumptions!$B$69,0)</f>
        <v>139.58333333333334</v>
      </c>
      <c r="AV49" s="3">
        <f>IF(AW$9&gt;0,Assumptions!$B$69,0)</f>
        <v>139.58333333333334</v>
      </c>
      <c r="AW49" s="3">
        <f>IF(AX$9&gt;0,Assumptions!$B$69,0)</f>
        <v>139.58333333333334</v>
      </c>
      <c r="AX49" s="3">
        <f>IF(AY$9&gt;0,Assumptions!$B$69,0)</f>
        <v>139.58333333333334</v>
      </c>
      <c r="AY49" s="3">
        <f>IF(AZ$9&gt;0,Assumptions!$B$69,0)</f>
        <v>139.58333333333334</v>
      </c>
      <c r="AZ49" s="3">
        <f>IF(BA$9&gt;0,Assumptions!$B$69,0)</f>
        <v>139.58333333333334</v>
      </c>
      <c r="BA49" s="3">
        <f>IF(BB$9&gt;0,Assumptions!$B$69,0)</f>
        <v>139.58333333333334</v>
      </c>
      <c r="BB49" s="3">
        <f>IF(BC$9&gt;0,Assumptions!$B$69,0)</f>
        <v>139.58333333333334</v>
      </c>
      <c r="BC49" s="3">
        <f>IF(BD$9&gt;0,Assumptions!$B$69,0)</f>
        <v>139.58333333333334</v>
      </c>
      <c r="BD49" s="3">
        <f>IF(BE$9&gt;0,Assumptions!$B$69,0)</f>
        <v>139.58333333333334</v>
      </c>
      <c r="BE49" s="37">
        <f t="shared" si="97"/>
        <v>1674.9999999999998</v>
      </c>
      <c r="BF49" s="3">
        <f>IF(BG$9&gt;0,Assumptions!$B$69,0)</f>
        <v>139.58333333333334</v>
      </c>
      <c r="BG49" s="3">
        <f>IF(BH$9&gt;0,Assumptions!$B$69,0)</f>
        <v>139.58333333333334</v>
      </c>
      <c r="BH49" s="3">
        <f>IF(BI$9&gt;0,Assumptions!$B$69,0)</f>
        <v>139.58333333333334</v>
      </c>
      <c r="BI49" s="3">
        <f>IF(BJ$9&gt;0,Assumptions!$B$69,0)</f>
        <v>139.58333333333334</v>
      </c>
      <c r="BJ49" s="3">
        <f>IF(BK$9&gt;0,Assumptions!$B$69,0)</f>
        <v>139.58333333333334</v>
      </c>
      <c r="BK49" s="3">
        <f>IF(BL$9&gt;0,Assumptions!$B$69,0)</f>
        <v>139.58333333333334</v>
      </c>
      <c r="BL49" s="3">
        <f>IF(BM$9&gt;0,Assumptions!$B$69,0)</f>
        <v>139.58333333333334</v>
      </c>
      <c r="BM49" s="3">
        <f>IF(BN$9&gt;0,Assumptions!$B$69,0)</f>
        <v>139.58333333333334</v>
      </c>
      <c r="BN49" s="3">
        <f>IF(BO$9&gt;0,Assumptions!$B$69,0)</f>
        <v>139.58333333333334</v>
      </c>
      <c r="BO49" s="3">
        <f>IF(BP$9&gt;0,Assumptions!$B$69,0)</f>
        <v>139.58333333333334</v>
      </c>
      <c r="BP49" s="3">
        <f>IF(BQ$9&gt;0,Assumptions!$B$69,0)</f>
        <v>139.58333333333334</v>
      </c>
      <c r="BQ49" s="3">
        <f>IF(BR$9&gt;0,Assumptions!$B$69,0)</f>
        <v>139.58333333333334</v>
      </c>
      <c r="BR49" s="37">
        <f t="shared" si="98"/>
        <v>1674.9999999999998</v>
      </c>
      <c r="BS49" s="37">
        <f t="shared" si="99"/>
        <v>8374.9999999999982</v>
      </c>
    </row>
    <row r="50" spans="1:72" ht="15.75" customHeight="1">
      <c r="A50" s="2"/>
      <c r="B50" s="21"/>
      <c r="C50" s="24" t="s">
        <v>53</v>
      </c>
      <c r="D50" s="24"/>
      <c r="E50" s="2"/>
      <c r="F50" s="3">
        <f>Assumptions!$B$70</f>
        <v>100</v>
      </c>
      <c r="G50" s="3">
        <f>Assumptions!$B$70</f>
        <v>100</v>
      </c>
      <c r="H50" s="3">
        <f>Assumptions!$B$70</f>
        <v>100</v>
      </c>
      <c r="I50" s="3">
        <f>Assumptions!$B$70</f>
        <v>100</v>
      </c>
      <c r="J50" s="3">
        <f>Assumptions!$B$70</f>
        <v>100</v>
      </c>
      <c r="K50" s="3">
        <f>Assumptions!$B$70</f>
        <v>100</v>
      </c>
      <c r="L50" s="3">
        <f>Assumptions!$B$70</f>
        <v>100</v>
      </c>
      <c r="M50" s="3">
        <f>Assumptions!$B$70</f>
        <v>100</v>
      </c>
      <c r="N50" s="3">
        <f>Assumptions!$B$70</f>
        <v>100</v>
      </c>
      <c r="O50" s="3">
        <f>Assumptions!$B$70</f>
        <v>100</v>
      </c>
      <c r="P50" s="3">
        <f>Assumptions!$B$70</f>
        <v>100</v>
      </c>
      <c r="Q50" s="3">
        <f>Assumptions!$B$70</f>
        <v>100</v>
      </c>
      <c r="R50" s="37">
        <f t="shared" si="94"/>
        <v>1200</v>
      </c>
      <c r="S50" s="3">
        <f>Assumptions!$B$70*(1+Assumptions!$D$70)</f>
        <v>105</v>
      </c>
      <c r="T50" s="3">
        <f>Assumptions!$B$70*(1+Assumptions!$D$70)</f>
        <v>105</v>
      </c>
      <c r="U50" s="3">
        <f>Assumptions!$B$70*(1+Assumptions!$D$70)</f>
        <v>105</v>
      </c>
      <c r="V50" s="3">
        <f>Assumptions!$B$70*(1+Assumptions!$D$70)</f>
        <v>105</v>
      </c>
      <c r="W50" s="3">
        <f>Assumptions!$B$70*(1+Assumptions!$D$70)</f>
        <v>105</v>
      </c>
      <c r="X50" s="3">
        <f>Assumptions!$B$70*(1+Assumptions!$D$70)</f>
        <v>105</v>
      </c>
      <c r="Y50" s="3">
        <f>Assumptions!$B$70*(1+Assumptions!$D$70)</f>
        <v>105</v>
      </c>
      <c r="Z50" s="3">
        <f>Assumptions!$B$70*(1+Assumptions!$D$70)</f>
        <v>105</v>
      </c>
      <c r="AA50" s="3">
        <f>Assumptions!$B$70*(1+Assumptions!$D$70)</f>
        <v>105</v>
      </c>
      <c r="AB50" s="3">
        <f>Assumptions!$B$70*(1+Assumptions!$D$70)</f>
        <v>105</v>
      </c>
      <c r="AC50" s="3">
        <f>Assumptions!$B$70*(1+Assumptions!$D$70)</f>
        <v>105</v>
      </c>
      <c r="AD50" s="3">
        <f>Assumptions!$B$70*(1+Assumptions!$D$70)</f>
        <v>105</v>
      </c>
      <c r="AE50" s="37">
        <f t="shared" si="95"/>
        <v>1260</v>
      </c>
      <c r="AF50" s="3">
        <f>Assumptions!$B$70*(1+Assumptions!$D$70)*(1+Assumptions!$E$70)</f>
        <v>110.25</v>
      </c>
      <c r="AG50" s="3">
        <f>Assumptions!$B$70*(1+Assumptions!$D$70)*(1+Assumptions!$E$70)</f>
        <v>110.25</v>
      </c>
      <c r="AH50" s="3">
        <f>Assumptions!$B$70*(1+Assumptions!$D$70)*(1+Assumptions!$E$70)</f>
        <v>110.25</v>
      </c>
      <c r="AI50" s="3">
        <f>Assumptions!$B$70*(1+Assumptions!$D$70)*(1+Assumptions!$E$70)</f>
        <v>110.25</v>
      </c>
      <c r="AJ50" s="3">
        <f>Assumptions!$B$70*(1+Assumptions!$D$70)*(1+Assumptions!$E$70)</f>
        <v>110.25</v>
      </c>
      <c r="AK50" s="3">
        <f>Assumptions!$B$70*(1+Assumptions!$D$70)*(1+Assumptions!$E$70)</f>
        <v>110.25</v>
      </c>
      <c r="AL50" s="3">
        <f>Assumptions!$B$70*(1+Assumptions!$D$70)*(1+Assumptions!$E$70)</f>
        <v>110.25</v>
      </c>
      <c r="AM50" s="3">
        <f>Assumptions!$B$70*(1+Assumptions!$D$70)*(1+Assumptions!$E$70)</f>
        <v>110.25</v>
      </c>
      <c r="AN50" s="3">
        <f>Assumptions!$B$70*(1+Assumptions!$D$70)*(1+Assumptions!$E$70)</f>
        <v>110.25</v>
      </c>
      <c r="AO50" s="3">
        <f>Assumptions!$B$70*(1+Assumptions!$D$70)*(1+Assumptions!$E$70)</f>
        <v>110.25</v>
      </c>
      <c r="AP50" s="3">
        <f>Assumptions!$B$70*(1+Assumptions!$D$70)*(1+Assumptions!$E$70)</f>
        <v>110.25</v>
      </c>
      <c r="AQ50" s="3">
        <f>Assumptions!$B$70*(1+Assumptions!$D$70)*(1+Assumptions!$E$70)</f>
        <v>110.25</v>
      </c>
      <c r="AR50" s="37">
        <f t="shared" si="96"/>
        <v>1323</v>
      </c>
      <c r="AS50" s="3">
        <f>Assumptions!$B$70*(1+Assumptions!$D$70)*(1+Assumptions!$E$70)*(1+Assumptions!$F$70)</f>
        <v>116.86500000000001</v>
      </c>
      <c r="AT50" s="3">
        <f>Assumptions!$B$70*(1+Assumptions!$D$70)*(1+Assumptions!$E$70)*(1+Assumptions!$F$70)</f>
        <v>116.86500000000001</v>
      </c>
      <c r="AU50" s="3">
        <f>Assumptions!$B$70*(1+Assumptions!$D$70)*(1+Assumptions!$E$70)*(1+Assumptions!$F$70)</f>
        <v>116.86500000000001</v>
      </c>
      <c r="AV50" s="3">
        <f>Assumptions!$B$70*(1+Assumptions!$D$70)*(1+Assumptions!$E$70)*(1+Assumptions!$F$70)</f>
        <v>116.86500000000001</v>
      </c>
      <c r="AW50" s="3">
        <f>Assumptions!$B$70*(1+Assumptions!$D$70)*(1+Assumptions!$E$70)*(1+Assumptions!$F$70)</f>
        <v>116.86500000000001</v>
      </c>
      <c r="AX50" s="3">
        <f>Assumptions!$B$70*(1+Assumptions!$D$70)*(1+Assumptions!$E$70)*(1+Assumptions!$F$70)</f>
        <v>116.86500000000001</v>
      </c>
      <c r="AY50" s="3">
        <f>Assumptions!$B$70*(1+Assumptions!$D$70)*(1+Assumptions!$E$70)*(1+Assumptions!$F$70)</f>
        <v>116.86500000000001</v>
      </c>
      <c r="AZ50" s="3">
        <f>Assumptions!$B$70*(1+Assumptions!$D$70)*(1+Assumptions!$E$70)*(1+Assumptions!$F$70)</f>
        <v>116.86500000000001</v>
      </c>
      <c r="BA50" s="3">
        <f>Assumptions!$B$70*(1+Assumptions!$D$70)*(1+Assumptions!$E$70)*(1+Assumptions!$F$70)</f>
        <v>116.86500000000001</v>
      </c>
      <c r="BB50" s="3">
        <f>Assumptions!$B$70*(1+Assumptions!$D$70)*(1+Assumptions!$E$70)*(1+Assumptions!$F$70)</f>
        <v>116.86500000000001</v>
      </c>
      <c r="BC50" s="3">
        <f>Assumptions!$B$70*(1+Assumptions!$D$70)*(1+Assumptions!$E$70)*(1+Assumptions!$F$70)</f>
        <v>116.86500000000001</v>
      </c>
      <c r="BD50" s="3">
        <f>Assumptions!$B$70*(1+Assumptions!$D$70)*(1+Assumptions!$E$70)*(1+Assumptions!$F$70)</f>
        <v>116.86500000000001</v>
      </c>
      <c r="BE50" s="37">
        <f t="shared" si="97"/>
        <v>1402.38</v>
      </c>
      <c r="BF50" s="3">
        <f>Assumptions!$B$70*(1+Assumptions!$D$70)*(1+Assumptions!$E$70)*(1+Assumptions!$F$70)*(1+Assumptions!$G$70)</f>
        <v>123.87690000000002</v>
      </c>
      <c r="BG50" s="3">
        <f>Assumptions!$B$70*(1+Assumptions!$D$70)*(1+Assumptions!$E$70)*(1+Assumptions!$F$70)*(1+Assumptions!$G$70)</f>
        <v>123.87690000000002</v>
      </c>
      <c r="BH50" s="3">
        <f>Assumptions!$B$70*(1+Assumptions!$D$70)*(1+Assumptions!$E$70)*(1+Assumptions!$F$70)*(1+Assumptions!$G$70)</f>
        <v>123.87690000000002</v>
      </c>
      <c r="BI50" s="3">
        <f>Assumptions!$B$70*(1+Assumptions!$D$70)*(1+Assumptions!$E$70)*(1+Assumptions!$F$70)*(1+Assumptions!$G$70)</f>
        <v>123.87690000000002</v>
      </c>
      <c r="BJ50" s="3">
        <f>Assumptions!$B$70*(1+Assumptions!$D$70)*(1+Assumptions!$E$70)*(1+Assumptions!$F$70)*(1+Assumptions!$G$70)</f>
        <v>123.87690000000002</v>
      </c>
      <c r="BK50" s="3">
        <f>Assumptions!$B$70*(1+Assumptions!$D$70)*(1+Assumptions!$E$70)*(1+Assumptions!$F$70)*(1+Assumptions!$G$70)</f>
        <v>123.87690000000002</v>
      </c>
      <c r="BL50" s="3">
        <f>Assumptions!$B$70*(1+Assumptions!$D$70)*(1+Assumptions!$E$70)*(1+Assumptions!$F$70)*(1+Assumptions!$G$70)</f>
        <v>123.87690000000002</v>
      </c>
      <c r="BM50" s="3">
        <f>Assumptions!$B$70*(1+Assumptions!$D$70)*(1+Assumptions!$E$70)*(1+Assumptions!$F$70)*(1+Assumptions!$G$70)</f>
        <v>123.87690000000002</v>
      </c>
      <c r="BN50" s="3">
        <f>Assumptions!$B$70*(1+Assumptions!$D$70)*(1+Assumptions!$E$70)*(1+Assumptions!$F$70)*(1+Assumptions!$G$70)</f>
        <v>123.87690000000002</v>
      </c>
      <c r="BO50" s="3">
        <f>Assumptions!$B$70*(1+Assumptions!$D$70)*(1+Assumptions!$E$70)*(1+Assumptions!$F$70)*(1+Assumptions!$G$70)</f>
        <v>123.87690000000002</v>
      </c>
      <c r="BP50" s="3">
        <f>Assumptions!$B$70*(1+Assumptions!$D$70)*(1+Assumptions!$E$70)*(1+Assumptions!$F$70)*(1+Assumptions!$G$70)</f>
        <v>123.87690000000002</v>
      </c>
      <c r="BQ50" s="3">
        <f>Assumptions!$B$70*(1+Assumptions!$D$70)*(1+Assumptions!$E$70)*(1+Assumptions!$F$70)*(1+Assumptions!$G$70)</f>
        <v>123.87690000000002</v>
      </c>
      <c r="BR50" s="37">
        <f t="shared" si="98"/>
        <v>1486.5228</v>
      </c>
      <c r="BS50" s="37">
        <f t="shared" si="99"/>
        <v>6671.9027999999998</v>
      </c>
    </row>
    <row r="51" spans="1:72" ht="15.75" customHeight="1">
      <c r="A51" s="2"/>
      <c r="B51" s="21"/>
      <c r="C51" s="24" t="s">
        <v>54</v>
      </c>
      <c r="D51" s="24"/>
      <c r="E51" s="24"/>
      <c r="F51" s="3">
        <f>Assumptions!$B$71</f>
        <v>100</v>
      </c>
      <c r="G51" s="3">
        <f>Assumptions!$B$71</f>
        <v>100</v>
      </c>
      <c r="H51" s="3">
        <f>Assumptions!$B$71</f>
        <v>100</v>
      </c>
      <c r="I51" s="3">
        <f>Assumptions!$B$71</f>
        <v>100</v>
      </c>
      <c r="J51" s="3">
        <f>Assumptions!$B$71</f>
        <v>100</v>
      </c>
      <c r="K51" s="3">
        <f>Assumptions!$B$71</f>
        <v>100</v>
      </c>
      <c r="L51" s="3">
        <f>Assumptions!$B$71</f>
        <v>100</v>
      </c>
      <c r="M51" s="3">
        <f>Assumptions!$B$71</f>
        <v>100</v>
      </c>
      <c r="N51" s="3">
        <f>Assumptions!$B$71</f>
        <v>100</v>
      </c>
      <c r="O51" s="3">
        <f>Assumptions!$B$71</f>
        <v>100</v>
      </c>
      <c r="P51" s="3">
        <f>Assumptions!$B$71</f>
        <v>100</v>
      </c>
      <c r="Q51" s="3">
        <f>Assumptions!$B$71</f>
        <v>100</v>
      </c>
      <c r="R51" s="37">
        <f t="shared" si="94"/>
        <v>1200</v>
      </c>
      <c r="S51" s="3">
        <f>Assumptions!$H$71</f>
        <v>103</v>
      </c>
      <c r="T51" s="3">
        <f>Assumptions!$H$71</f>
        <v>103</v>
      </c>
      <c r="U51" s="3">
        <f>Assumptions!$H$71</f>
        <v>103</v>
      </c>
      <c r="V51" s="3">
        <f>Assumptions!$H$71</f>
        <v>103</v>
      </c>
      <c r="W51" s="3">
        <f>Assumptions!$H$71</f>
        <v>103</v>
      </c>
      <c r="X51" s="3">
        <f>Assumptions!$H$71</f>
        <v>103</v>
      </c>
      <c r="Y51" s="3">
        <f>Assumptions!$H$71</f>
        <v>103</v>
      </c>
      <c r="Z51" s="3">
        <f>Assumptions!$H$71</f>
        <v>103</v>
      </c>
      <c r="AA51" s="3">
        <f>Assumptions!$H$71</f>
        <v>103</v>
      </c>
      <c r="AB51" s="3">
        <f>Assumptions!$H$71</f>
        <v>103</v>
      </c>
      <c r="AC51" s="3">
        <f>Assumptions!$H$71</f>
        <v>103</v>
      </c>
      <c r="AD51" s="3">
        <f>Assumptions!$H$71</f>
        <v>103</v>
      </c>
      <c r="AE51" s="37">
        <f t="shared" si="95"/>
        <v>1236</v>
      </c>
      <c r="AF51" s="3">
        <f>Assumptions!$I$71</f>
        <v>107.12</v>
      </c>
      <c r="AG51" s="3">
        <f>Assumptions!$I$71</f>
        <v>107.12</v>
      </c>
      <c r="AH51" s="3">
        <f>Assumptions!$I$71</f>
        <v>107.12</v>
      </c>
      <c r="AI51" s="3">
        <f>Assumptions!$I$71</f>
        <v>107.12</v>
      </c>
      <c r="AJ51" s="3">
        <f>Assumptions!$I$71</f>
        <v>107.12</v>
      </c>
      <c r="AK51" s="3">
        <f>Assumptions!$I$71</f>
        <v>107.12</v>
      </c>
      <c r="AL51" s="3">
        <f>Assumptions!$I$71</f>
        <v>107.12</v>
      </c>
      <c r="AM51" s="3">
        <f>Assumptions!$I$71</f>
        <v>107.12</v>
      </c>
      <c r="AN51" s="3">
        <f>Assumptions!$I$71</f>
        <v>107.12</v>
      </c>
      <c r="AO51" s="3">
        <f>Assumptions!$I$71</f>
        <v>107.12</v>
      </c>
      <c r="AP51" s="3">
        <f>Assumptions!$I$71</f>
        <v>107.12</v>
      </c>
      <c r="AQ51" s="3">
        <f>Assumptions!$I$71</f>
        <v>107.12</v>
      </c>
      <c r="AR51" s="37">
        <f t="shared" si="96"/>
        <v>1285.44</v>
      </c>
      <c r="AS51" s="3">
        <f>Assumptions!$J$71</f>
        <v>112.47600000000001</v>
      </c>
      <c r="AT51" s="3">
        <f>Assumptions!$J$71</f>
        <v>112.47600000000001</v>
      </c>
      <c r="AU51" s="3">
        <f>Assumptions!$J$71</f>
        <v>112.47600000000001</v>
      </c>
      <c r="AV51" s="3">
        <f>Assumptions!$J$71</f>
        <v>112.47600000000001</v>
      </c>
      <c r="AW51" s="3">
        <f>Assumptions!$J$71</f>
        <v>112.47600000000001</v>
      </c>
      <c r="AX51" s="3">
        <f>Assumptions!$J$71</f>
        <v>112.47600000000001</v>
      </c>
      <c r="AY51" s="3">
        <f>Assumptions!$J$71</f>
        <v>112.47600000000001</v>
      </c>
      <c r="AZ51" s="3">
        <f>Assumptions!$J$71</f>
        <v>112.47600000000001</v>
      </c>
      <c r="BA51" s="3">
        <f>Assumptions!$J$71</f>
        <v>112.47600000000001</v>
      </c>
      <c r="BB51" s="3">
        <f>Assumptions!$J$71</f>
        <v>112.47600000000001</v>
      </c>
      <c r="BC51" s="3">
        <f>Assumptions!$J$71</f>
        <v>112.47600000000001</v>
      </c>
      <c r="BD51" s="3">
        <f>Assumptions!$J$71</f>
        <v>112.47600000000001</v>
      </c>
      <c r="BE51" s="37">
        <f t="shared" si="97"/>
        <v>1349.7120000000004</v>
      </c>
      <c r="BF51" s="3">
        <f>Assumptions!$K$71</f>
        <v>119.22456000000003</v>
      </c>
      <c r="BG51" s="3">
        <f>Assumptions!$K$71</f>
        <v>119.22456000000003</v>
      </c>
      <c r="BH51" s="3">
        <f>Assumptions!$K$71</f>
        <v>119.22456000000003</v>
      </c>
      <c r="BI51" s="3">
        <f>Assumptions!$K$71</f>
        <v>119.22456000000003</v>
      </c>
      <c r="BJ51" s="3">
        <f>Assumptions!$K$71</f>
        <v>119.22456000000003</v>
      </c>
      <c r="BK51" s="3">
        <f>Assumptions!$K$71</f>
        <v>119.22456000000003</v>
      </c>
      <c r="BL51" s="3">
        <f>Assumptions!$K$71</f>
        <v>119.22456000000003</v>
      </c>
      <c r="BM51" s="3">
        <f>Assumptions!$K$71</f>
        <v>119.22456000000003</v>
      </c>
      <c r="BN51" s="3">
        <f>Assumptions!$K$71</f>
        <v>119.22456000000003</v>
      </c>
      <c r="BO51" s="3">
        <f>Assumptions!$K$71</f>
        <v>119.22456000000003</v>
      </c>
      <c r="BP51" s="3">
        <f>Assumptions!$K$71</f>
        <v>119.22456000000003</v>
      </c>
      <c r="BQ51" s="3">
        <f>Assumptions!$K$71</f>
        <v>119.22456000000003</v>
      </c>
      <c r="BR51" s="37">
        <f t="shared" si="98"/>
        <v>1430.6947200000004</v>
      </c>
      <c r="BS51" s="37">
        <f t="shared" si="99"/>
        <v>6501.8467200000005</v>
      </c>
    </row>
    <row r="52" spans="1:72" ht="15.75" customHeight="1">
      <c r="A52" s="2"/>
      <c r="B52" s="21"/>
      <c r="C52" s="21" t="s">
        <v>55</v>
      </c>
      <c r="D52" s="2"/>
      <c r="E52" s="2"/>
      <c r="F52" s="3">
        <f>Assumptions!$B$72+Assumptions!$B$77+Assumptions!$B$78+Assumptions!$B$79+Assumptions!$B$80</f>
        <v>11400</v>
      </c>
      <c r="G52" s="3">
        <f>Assumptions!$B$72+Assumptions!$B$77+Assumptions!$B$78+Assumptions!$B$79+Assumptions!$B$80</f>
        <v>11400</v>
      </c>
      <c r="H52" s="3">
        <f>Assumptions!$B$72+Assumptions!$B$77+Assumptions!$B$78+Assumptions!$B$79+Assumptions!$B$80</f>
        <v>11400</v>
      </c>
      <c r="I52" s="3">
        <f>Assumptions!$B$72+Assumptions!$B$77+Assumptions!$B$78+Assumptions!$B$79+Assumptions!$B$80</f>
        <v>11400</v>
      </c>
      <c r="J52" s="3">
        <f>Assumptions!$B$72+Assumptions!$B$77+Assumptions!$B$78+Assumptions!$B$79+Assumptions!$B$80</f>
        <v>11400</v>
      </c>
      <c r="K52" s="3">
        <f>Assumptions!$B$72+Assumptions!$B$77+Assumptions!$B$78+Assumptions!$B$79+Assumptions!$B$80</f>
        <v>11400</v>
      </c>
      <c r="L52" s="3">
        <f>Assumptions!$B$72+Assumptions!$B$77+Assumptions!$B$78+Assumptions!$B$79+Assumptions!$B$80</f>
        <v>11400</v>
      </c>
      <c r="M52" s="3">
        <f>Assumptions!$B$72+Assumptions!$B$77+Assumptions!$B$78+Assumptions!$B$79+Assumptions!$B$80</f>
        <v>11400</v>
      </c>
      <c r="N52" s="3">
        <f>Assumptions!$B$72+Assumptions!$B$77+Assumptions!$B$78+Assumptions!$B$79+Assumptions!$B$80</f>
        <v>11400</v>
      </c>
      <c r="O52" s="3">
        <f>Assumptions!$B$72+Assumptions!$B$77+Assumptions!$B$78+Assumptions!$B$79+Assumptions!$B$80</f>
        <v>11400</v>
      </c>
      <c r="P52" s="3">
        <f>Assumptions!$B$72+Assumptions!$B$77+Assumptions!$B$78+Assumptions!$B$79+Assumptions!$B$80</f>
        <v>11400</v>
      </c>
      <c r="Q52" s="3">
        <f>Assumptions!$B$72+Assumptions!$B$77+Assumptions!$B$78+Assumptions!$B$79+Assumptions!$B$80</f>
        <v>11400</v>
      </c>
      <c r="R52" s="37">
        <f t="shared" si="94"/>
        <v>136800</v>
      </c>
      <c r="S52" s="3">
        <f>Assumptions!$H$72+Assumptions!$H$77+Assumptions!$H$78+Assumptions!$H$79+Assumptions!$H$80</f>
        <v>11489.5</v>
      </c>
      <c r="T52" s="3">
        <f>Assumptions!$H$72+Assumptions!$H$77+Assumptions!$H$78+Assumptions!$H$79+Assumptions!$H$80</f>
        <v>11489.5</v>
      </c>
      <c r="U52" s="3">
        <f>Assumptions!$H$72+Assumptions!$H$77+Assumptions!$H$78+Assumptions!$H$79+Assumptions!$H$80</f>
        <v>11489.5</v>
      </c>
      <c r="V52" s="3">
        <f>Assumptions!$H$72+Assumptions!$H$77+Assumptions!$H$78+Assumptions!$H$79+Assumptions!$H$80</f>
        <v>11489.5</v>
      </c>
      <c r="W52" s="3">
        <f>Assumptions!$H$72+Assumptions!$H$77+Assumptions!$H$78+Assumptions!$H$79+Assumptions!$H$80</f>
        <v>11489.5</v>
      </c>
      <c r="X52" s="3">
        <f>Assumptions!$H$72+Assumptions!$H$77+Assumptions!$H$78+Assumptions!$H$79+Assumptions!$H$80</f>
        <v>11489.5</v>
      </c>
      <c r="Y52" s="3">
        <f>Assumptions!$H$72+Assumptions!$H$77+Assumptions!$H$78+Assumptions!$H$79+Assumptions!$H$80</f>
        <v>11489.5</v>
      </c>
      <c r="Z52" s="3">
        <f>Assumptions!$H$72+Assumptions!$H$77+Assumptions!$H$78+Assumptions!$H$79+Assumptions!$H$80</f>
        <v>11489.5</v>
      </c>
      <c r="AA52" s="3">
        <f>Assumptions!$H$72+Assumptions!$H$77+Assumptions!$H$78+Assumptions!$H$79+Assumptions!$H$80</f>
        <v>11489.5</v>
      </c>
      <c r="AB52" s="3">
        <f>Assumptions!$H$72+Assumptions!$H$77+Assumptions!$H$78+Assumptions!$H$79+Assumptions!$H$80</f>
        <v>11489.5</v>
      </c>
      <c r="AC52" s="3">
        <f>Assumptions!$H$72+Assumptions!$H$77+Assumptions!$H$78+Assumptions!$H$79+Assumptions!$H$80</f>
        <v>11489.5</v>
      </c>
      <c r="AD52" s="3">
        <f>Assumptions!$H$72+Assumptions!$H$77+Assumptions!$H$78+Assumptions!$H$79+Assumptions!$H$80</f>
        <v>11489.5</v>
      </c>
      <c r="AE52" s="37">
        <f t="shared" si="95"/>
        <v>137874</v>
      </c>
      <c r="AF52" s="3">
        <f>Assumptions!$I$72+Assumptions!$I$77+Assumptions!$I$78+Assumptions!$I$79+Assumptions!$I$80</f>
        <v>11582.425000000001</v>
      </c>
      <c r="AG52" s="3">
        <f>Assumptions!$I$72+Assumptions!$I$77+Assumptions!$I$78+Assumptions!$I$79+Assumptions!$I$80</f>
        <v>11582.425000000001</v>
      </c>
      <c r="AH52" s="3">
        <f>Assumptions!$I$72+Assumptions!$I$77+Assumptions!$I$78+Assumptions!$I$79+Assumptions!$I$80</f>
        <v>11582.425000000001</v>
      </c>
      <c r="AI52" s="3">
        <f>Assumptions!$I$72+Assumptions!$I$77+Assumptions!$I$78+Assumptions!$I$79+Assumptions!$I$80</f>
        <v>11582.425000000001</v>
      </c>
      <c r="AJ52" s="3">
        <f>Assumptions!$I$72+Assumptions!$I$77+Assumptions!$I$78+Assumptions!$I$79+Assumptions!$I$80</f>
        <v>11582.425000000001</v>
      </c>
      <c r="AK52" s="3">
        <f>Assumptions!$I$72+Assumptions!$I$77+Assumptions!$I$78+Assumptions!$I$79+Assumptions!$I$80</f>
        <v>11582.425000000001</v>
      </c>
      <c r="AL52" s="3">
        <f>Assumptions!$I$72+Assumptions!$I$77+Assumptions!$I$78+Assumptions!$I$79+Assumptions!$I$80</f>
        <v>11582.425000000001</v>
      </c>
      <c r="AM52" s="3">
        <f>Assumptions!$I$72+Assumptions!$I$77+Assumptions!$I$78+Assumptions!$I$79+Assumptions!$I$80</f>
        <v>11582.425000000001</v>
      </c>
      <c r="AN52" s="3">
        <f>Assumptions!$I$72+Assumptions!$I$77+Assumptions!$I$78+Assumptions!$I$79+Assumptions!$I$80</f>
        <v>11582.425000000001</v>
      </c>
      <c r="AO52" s="3">
        <f>Assumptions!$I$72+Assumptions!$I$77+Assumptions!$I$78+Assumptions!$I$79+Assumptions!$I$80</f>
        <v>11582.425000000001</v>
      </c>
      <c r="AP52" s="3">
        <f>Assumptions!$I$72+Assumptions!$I$77+Assumptions!$I$78+Assumptions!$I$79+Assumptions!$I$80</f>
        <v>11582.425000000001</v>
      </c>
      <c r="AQ52" s="3">
        <f>Assumptions!$I$72+Assumptions!$I$77+Assumptions!$I$78+Assumptions!$I$79+Assumptions!$I$80</f>
        <v>11582.425000000001</v>
      </c>
      <c r="AR52" s="37">
        <f t="shared" si="96"/>
        <v>138989.1</v>
      </c>
      <c r="AS52" s="3">
        <f>Assumptions!$J$72+Assumptions!$J$77+Assumptions!$J$78+Assumptions!$J$79+Assumptions!$J$80</f>
        <v>11678.908149999999</v>
      </c>
      <c r="AT52" s="3">
        <f>Assumptions!$J$72+Assumptions!$J$77+Assumptions!$J$78+Assumptions!$J$79+Assumptions!$J$80</f>
        <v>11678.908149999999</v>
      </c>
      <c r="AU52" s="3">
        <f>Assumptions!$J$72+Assumptions!$J$77+Assumptions!$J$78+Assumptions!$J$79+Assumptions!$J$80</f>
        <v>11678.908149999999</v>
      </c>
      <c r="AV52" s="3">
        <f>Assumptions!$J$72+Assumptions!$J$77+Assumptions!$J$78+Assumptions!$J$79+Assumptions!$J$80</f>
        <v>11678.908149999999</v>
      </c>
      <c r="AW52" s="3">
        <f>Assumptions!$J$72+Assumptions!$J$77+Assumptions!$J$78+Assumptions!$J$79+Assumptions!$J$80</f>
        <v>11678.908149999999</v>
      </c>
      <c r="AX52" s="3">
        <f>Assumptions!$J$72+Assumptions!$J$77+Assumptions!$J$78+Assumptions!$J$79+Assumptions!$J$80</f>
        <v>11678.908149999999</v>
      </c>
      <c r="AY52" s="3">
        <f>Assumptions!$J$72+Assumptions!$J$77+Assumptions!$J$78+Assumptions!$J$79+Assumptions!$J$80</f>
        <v>11678.908149999999</v>
      </c>
      <c r="AZ52" s="3">
        <f>Assumptions!$J$72+Assumptions!$J$77+Assumptions!$J$78+Assumptions!$J$79+Assumptions!$J$80</f>
        <v>11678.908149999999</v>
      </c>
      <c r="BA52" s="3">
        <f>Assumptions!$J$72+Assumptions!$J$77+Assumptions!$J$78+Assumptions!$J$79+Assumptions!$J$80</f>
        <v>11678.908149999999</v>
      </c>
      <c r="BB52" s="3">
        <f>Assumptions!$J$72+Assumptions!$J$77+Assumptions!$J$78+Assumptions!$J$79+Assumptions!$J$80</f>
        <v>11678.908149999999</v>
      </c>
      <c r="BC52" s="3">
        <f>Assumptions!$J$72+Assumptions!$J$77+Assumptions!$J$78+Assumptions!$J$79+Assumptions!$J$80</f>
        <v>11678.908149999999</v>
      </c>
      <c r="BD52" s="3">
        <f>Assumptions!$J$72+Assumptions!$J$77+Assumptions!$J$78+Assumptions!$J$79+Assumptions!$J$80</f>
        <v>11678.908149999999</v>
      </c>
      <c r="BE52" s="37">
        <f t="shared" si="97"/>
        <v>140146.89780000001</v>
      </c>
      <c r="BF52" s="3">
        <f>Assumptions!$K$72+Assumptions!$K$77+Assumptions!$K$78+Assumptions!$K$79+Assumptions!$K$80</f>
        <v>11779.087826499999</v>
      </c>
      <c r="BG52" s="3">
        <f>Assumptions!$K$72+Assumptions!$K$77+Assumptions!$K$78+Assumptions!$K$79+Assumptions!$K$80</f>
        <v>11779.087826499999</v>
      </c>
      <c r="BH52" s="3">
        <f>Assumptions!$K$72+Assumptions!$K$77+Assumptions!$K$78+Assumptions!$K$79+Assumptions!$K$80</f>
        <v>11779.087826499999</v>
      </c>
      <c r="BI52" s="3">
        <f>Assumptions!$K$72+Assumptions!$K$77+Assumptions!$K$78+Assumptions!$K$79+Assumptions!$K$80</f>
        <v>11779.087826499999</v>
      </c>
      <c r="BJ52" s="3">
        <f>Assumptions!$K$72+Assumptions!$K$77+Assumptions!$K$78+Assumptions!$K$79+Assumptions!$K$80</f>
        <v>11779.087826499999</v>
      </c>
      <c r="BK52" s="3">
        <f>Assumptions!$K$72+Assumptions!$K$77+Assumptions!$K$78+Assumptions!$K$79+Assumptions!$K$80</f>
        <v>11779.087826499999</v>
      </c>
      <c r="BL52" s="3">
        <f>Assumptions!$K$72+Assumptions!$K$77+Assumptions!$K$78+Assumptions!$K$79+Assumptions!$K$80</f>
        <v>11779.087826499999</v>
      </c>
      <c r="BM52" s="3">
        <f>Assumptions!$K$72+Assumptions!$K$77+Assumptions!$K$78+Assumptions!$K$79+Assumptions!$K$80</f>
        <v>11779.087826499999</v>
      </c>
      <c r="BN52" s="3">
        <f>Assumptions!$K$72+Assumptions!$K$77+Assumptions!$K$78+Assumptions!$K$79+Assumptions!$K$80</f>
        <v>11779.087826499999</v>
      </c>
      <c r="BO52" s="3">
        <f>Assumptions!$K$72+Assumptions!$K$77+Assumptions!$K$78+Assumptions!$K$79+Assumptions!$K$80</f>
        <v>11779.087826499999</v>
      </c>
      <c r="BP52" s="3">
        <f>Assumptions!$K$72+Assumptions!$K$77+Assumptions!$K$78+Assumptions!$K$79+Assumptions!$K$80</f>
        <v>11779.087826499999</v>
      </c>
      <c r="BQ52" s="3">
        <f>Assumptions!$K$72+Assumptions!$K$77+Assumptions!$K$78+Assumptions!$K$79+Assumptions!$K$80</f>
        <v>11779.087826499999</v>
      </c>
      <c r="BR52" s="37">
        <f t="shared" si="98"/>
        <v>141349.05391800002</v>
      </c>
      <c r="BS52" s="37">
        <f t="shared" si="99"/>
        <v>695159.05171800009</v>
      </c>
      <c r="BT52" s="3">
        <f>IF(BT$6&gt;=Assumptions!$B$76,Assumptions!$B$72*(1+Assumptions!$G$72)+Assumptions!$G$77,0)</f>
        <v>0</v>
      </c>
    </row>
    <row r="53" spans="1:72" ht="15.75" customHeight="1">
      <c r="A53" s="2"/>
      <c r="B53" s="21"/>
      <c r="C53" s="21" t="s">
        <v>56</v>
      </c>
      <c r="D53" s="24"/>
      <c r="E53" s="24"/>
      <c r="F53" s="3">
        <f>IF(G$9&gt;0,Assumptions!$B$81,0)</f>
        <v>1250</v>
      </c>
      <c r="G53" s="3">
        <f>IF(H$9&gt;0,Assumptions!$B$81,0)</f>
        <v>1250</v>
      </c>
      <c r="H53" s="3">
        <f>IF(I$9&gt;0,Assumptions!$B$81,0)</f>
        <v>1250</v>
      </c>
      <c r="I53" s="3">
        <f>IF(J$9&gt;0,Assumptions!$B$81,0)</f>
        <v>1250</v>
      </c>
      <c r="J53" s="3">
        <f>IF(K$9&gt;0,Assumptions!$B$81,0)</f>
        <v>1250</v>
      </c>
      <c r="K53" s="3">
        <f>IF(L$9&gt;0,Assumptions!$B$81,0)</f>
        <v>1250</v>
      </c>
      <c r="L53" s="3">
        <f>IF(M$9&gt;0,Assumptions!$B$81,0)</f>
        <v>1250</v>
      </c>
      <c r="M53" s="3">
        <f>IF(N$9&gt;0,Assumptions!$B$81,0)</f>
        <v>1250</v>
      </c>
      <c r="N53" s="3">
        <f>IF(O$9&gt;0,Assumptions!$B$81,0)</f>
        <v>1250</v>
      </c>
      <c r="O53" s="3">
        <f>IF(P$9&gt;0,Assumptions!$B$81,0)</f>
        <v>1250</v>
      </c>
      <c r="P53" s="3">
        <f>IF(Q$9&gt;0,Assumptions!$B$81,0)</f>
        <v>1250</v>
      </c>
      <c r="Q53" s="3">
        <f>IF(R$9&gt;0,Assumptions!$B$81,0)</f>
        <v>1250</v>
      </c>
      <c r="R53" s="37">
        <f t="shared" si="94"/>
        <v>15000</v>
      </c>
      <c r="S53" s="3">
        <f>IF(T$9&gt;0,Assumptions!$B$81,0)</f>
        <v>1250</v>
      </c>
      <c r="T53" s="3">
        <f>IF(U$9&gt;0,Assumptions!$B$81,0)</f>
        <v>1250</v>
      </c>
      <c r="U53" s="3">
        <f>IF(V$9&gt;0,Assumptions!$B$81,0)</f>
        <v>1250</v>
      </c>
      <c r="V53" s="3">
        <f>IF(W$9&gt;0,Assumptions!$B$81,0)</f>
        <v>1250</v>
      </c>
      <c r="W53" s="3">
        <f>IF(X$9&gt;0,Assumptions!$B$81,0)</f>
        <v>1250</v>
      </c>
      <c r="X53" s="3">
        <f>IF(Y$9&gt;0,Assumptions!$B$81,0)</f>
        <v>1250</v>
      </c>
      <c r="Y53" s="3">
        <f>IF(Z$9&gt;0,Assumptions!$B$81,0)</f>
        <v>1250</v>
      </c>
      <c r="Z53" s="3">
        <f>IF(AA$9&gt;0,Assumptions!$B$81,0)</f>
        <v>1250</v>
      </c>
      <c r="AA53" s="3">
        <f>IF(AB$9&gt;0,Assumptions!$B$81,0)</f>
        <v>1250</v>
      </c>
      <c r="AB53" s="3">
        <f>IF(AC$9&gt;0,Assumptions!$B$81,0)</f>
        <v>1250</v>
      </c>
      <c r="AC53" s="3">
        <f>IF(AD$9&gt;0,Assumptions!$B$81,0)</f>
        <v>1250</v>
      </c>
      <c r="AD53" s="3">
        <f>IF(AE$9&gt;0,Assumptions!$B$81,0)</f>
        <v>1250</v>
      </c>
      <c r="AE53" s="37">
        <f t="shared" si="95"/>
        <v>15000</v>
      </c>
      <c r="AF53" s="3">
        <f>IF(AG$9&gt;0,Assumptions!$B$81,0)</f>
        <v>1250</v>
      </c>
      <c r="AG53" s="3">
        <f>IF(AH$9&gt;0,Assumptions!$B$81,0)</f>
        <v>1250</v>
      </c>
      <c r="AH53" s="3">
        <f>IF(AI$9&gt;0,Assumptions!$B$81,0)</f>
        <v>1250</v>
      </c>
      <c r="AI53" s="3">
        <f>IF(AJ$9&gt;0,Assumptions!$B$81,0)</f>
        <v>1250</v>
      </c>
      <c r="AJ53" s="3">
        <f>IF(AK$9&gt;0,Assumptions!$B$81,0)</f>
        <v>1250</v>
      </c>
      <c r="AK53" s="3">
        <f>IF(AL$9&gt;0,Assumptions!$B$81,0)</f>
        <v>1250</v>
      </c>
      <c r="AL53" s="3">
        <f>IF(AM$9&gt;0,Assumptions!$B$81,0)</f>
        <v>1250</v>
      </c>
      <c r="AM53" s="3">
        <f>IF(AN$9&gt;0,Assumptions!$B$81,0)</f>
        <v>1250</v>
      </c>
      <c r="AN53" s="3">
        <f>IF(AO$9&gt;0,Assumptions!$B$81,0)</f>
        <v>1250</v>
      </c>
      <c r="AO53" s="3">
        <f>IF(AP$9&gt;0,Assumptions!$B$81,0)</f>
        <v>1250</v>
      </c>
      <c r="AP53" s="3">
        <f>IF(AQ$9&gt;0,Assumptions!$B$81,0)</f>
        <v>1250</v>
      </c>
      <c r="AQ53" s="3">
        <f>IF(AR$9&gt;0,Assumptions!$B$81,0)</f>
        <v>1250</v>
      </c>
      <c r="AR53" s="37">
        <f t="shared" si="96"/>
        <v>15000</v>
      </c>
      <c r="AS53" s="3">
        <f>IF(AT$9&gt;0,Assumptions!$B$81,0)</f>
        <v>1250</v>
      </c>
      <c r="AT53" s="3">
        <f>IF(AU$9&gt;0,Assumptions!$B$81,0)</f>
        <v>1250</v>
      </c>
      <c r="AU53" s="3">
        <f>IF(AV$9&gt;0,Assumptions!$B$81,0)</f>
        <v>1250</v>
      </c>
      <c r="AV53" s="3">
        <f>IF(AW$9&gt;0,Assumptions!$B$81,0)</f>
        <v>1250</v>
      </c>
      <c r="AW53" s="3">
        <f>IF(AX$9&gt;0,Assumptions!$B$81,0)</f>
        <v>1250</v>
      </c>
      <c r="AX53" s="3">
        <f>IF(AY$9&gt;0,Assumptions!$B$81,0)</f>
        <v>1250</v>
      </c>
      <c r="AY53" s="3">
        <f>IF(AZ$9&gt;0,Assumptions!$B$81,0)</f>
        <v>1250</v>
      </c>
      <c r="AZ53" s="3">
        <f>IF(BA$9&gt;0,Assumptions!$B$81,0)</f>
        <v>1250</v>
      </c>
      <c r="BA53" s="3">
        <f>IF(BB$9&gt;0,Assumptions!$B$81,0)</f>
        <v>1250</v>
      </c>
      <c r="BB53" s="3">
        <f>IF(BC$9&gt;0,Assumptions!$B$81,0)</f>
        <v>1250</v>
      </c>
      <c r="BC53" s="3">
        <f>IF(BD$9&gt;0,Assumptions!$B$81,0)</f>
        <v>1250</v>
      </c>
      <c r="BD53" s="3">
        <f>IF(BE$9&gt;0,Assumptions!$B$81,0)</f>
        <v>1250</v>
      </c>
      <c r="BE53" s="37">
        <f t="shared" si="97"/>
        <v>15000</v>
      </c>
      <c r="BF53" s="3">
        <f>IF(BG$9&gt;0,Assumptions!$B$81,0)</f>
        <v>1250</v>
      </c>
      <c r="BG53" s="3">
        <f>IF(BH$9&gt;0,Assumptions!$B$81,0)</f>
        <v>1250</v>
      </c>
      <c r="BH53" s="3">
        <f>IF(BI$9&gt;0,Assumptions!$B$81,0)</f>
        <v>1250</v>
      </c>
      <c r="BI53" s="3">
        <f>IF(BJ$9&gt;0,Assumptions!$B$81,0)</f>
        <v>1250</v>
      </c>
      <c r="BJ53" s="3">
        <f>IF(BK$9&gt;0,Assumptions!$B$81,0)</f>
        <v>1250</v>
      </c>
      <c r="BK53" s="3">
        <f>IF(BL$9&gt;0,Assumptions!$B$81,0)</f>
        <v>1250</v>
      </c>
      <c r="BL53" s="3">
        <f>IF(BM$9&gt;0,Assumptions!$B$81,0)</f>
        <v>1250</v>
      </c>
      <c r="BM53" s="3">
        <f>IF(BN$9&gt;0,Assumptions!$B$81,0)</f>
        <v>1250</v>
      </c>
      <c r="BN53" s="3">
        <f>IF(BO$9&gt;0,Assumptions!$B$81,0)</f>
        <v>1250</v>
      </c>
      <c r="BO53" s="3">
        <f>IF(BP$9&gt;0,Assumptions!$B$81,0)</f>
        <v>1250</v>
      </c>
      <c r="BP53" s="3">
        <f>IF(BQ$9&gt;0,Assumptions!$B$81,0)</f>
        <v>1250</v>
      </c>
      <c r="BQ53" s="3">
        <f>IF(BR$9&gt;0,Assumptions!$B$81,0)</f>
        <v>1250</v>
      </c>
      <c r="BR53" s="37">
        <f t="shared" si="98"/>
        <v>15000</v>
      </c>
      <c r="BS53" s="37">
        <f t="shared" si="99"/>
        <v>75000</v>
      </c>
    </row>
    <row r="54" spans="1:72" ht="15.75" customHeight="1">
      <c r="A54" s="1"/>
      <c r="B54" s="21"/>
      <c r="C54" s="21" t="s">
        <v>57</v>
      </c>
      <c r="D54" s="24"/>
      <c r="E54" s="24"/>
      <c r="F54" s="3">
        <f>IF(G$9&gt;0,Assumptions!$B$82,0)</f>
        <v>200</v>
      </c>
      <c r="G54" s="3">
        <f>IF(H$9&gt;0,Assumptions!$B$82,0)</f>
        <v>200</v>
      </c>
      <c r="H54" s="3">
        <f>IF(I$9&gt;0,Assumptions!$B$82,0)</f>
        <v>200</v>
      </c>
      <c r="I54" s="3">
        <f>IF(J$9&gt;0,Assumptions!$B$82,0)</f>
        <v>200</v>
      </c>
      <c r="J54" s="3">
        <f>IF(K$9&gt;0,Assumptions!$B$82,0)</f>
        <v>200</v>
      </c>
      <c r="K54" s="3">
        <f>IF(L$9&gt;0,Assumptions!$B$82,0)</f>
        <v>200</v>
      </c>
      <c r="L54" s="3">
        <f>IF(M$9&gt;0,Assumptions!$B$82,0)</f>
        <v>200</v>
      </c>
      <c r="M54" s="3">
        <f>IF(N$9&gt;0,Assumptions!$B$82,0)</f>
        <v>200</v>
      </c>
      <c r="N54" s="3">
        <f>IF(O$9&gt;0,Assumptions!$B$82,0)</f>
        <v>200</v>
      </c>
      <c r="O54" s="3">
        <f>IF(P$9&gt;0,Assumptions!$B$82,0)</f>
        <v>200</v>
      </c>
      <c r="P54" s="3">
        <f>IF(Q$9&gt;0,Assumptions!$B$82,0)</f>
        <v>200</v>
      </c>
      <c r="Q54" s="3">
        <f>IF(R$9&gt;0,Assumptions!$B$82,0)</f>
        <v>200</v>
      </c>
      <c r="R54" s="37">
        <f t="shared" si="94"/>
        <v>2400</v>
      </c>
      <c r="S54" s="3">
        <f>IF(T$9&gt;0,Assumptions!$B$82,0)</f>
        <v>200</v>
      </c>
      <c r="T54" s="3">
        <f>IF(U$9&gt;0,Assumptions!$B$82,0)</f>
        <v>200</v>
      </c>
      <c r="U54" s="3">
        <f>IF(V$9&gt;0,Assumptions!$B$82,0)</f>
        <v>200</v>
      </c>
      <c r="V54" s="3">
        <f>IF(W$9&gt;0,Assumptions!$B$82,0)</f>
        <v>200</v>
      </c>
      <c r="W54" s="3">
        <f>IF(X$9&gt;0,Assumptions!$B$82,0)</f>
        <v>200</v>
      </c>
      <c r="X54" s="3">
        <f>IF(Y$9&gt;0,Assumptions!$B$82,0)</f>
        <v>200</v>
      </c>
      <c r="Y54" s="3">
        <f>IF(Z$9&gt;0,Assumptions!$B$82,0)</f>
        <v>200</v>
      </c>
      <c r="Z54" s="3">
        <f>IF(AA$9&gt;0,Assumptions!$B$82,0)</f>
        <v>200</v>
      </c>
      <c r="AA54" s="3">
        <f>IF(AB$9&gt;0,Assumptions!$B$82,0)</f>
        <v>200</v>
      </c>
      <c r="AB54" s="3">
        <f>IF(AC$9&gt;0,Assumptions!$B$82,0)</f>
        <v>200</v>
      </c>
      <c r="AC54" s="3">
        <f>IF(AD$9&gt;0,Assumptions!$B$82,0)</f>
        <v>200</v>
      </c>
      <c r="AD54" s="3">
        <f>IF(AE$9&gt;0,Assumptions!$B$82,0)</f>
        <v>200</v>
      </c>
      <c r="AE54" s="37">
        <f t="shared" si="95"/>
        <v>2400</v>
      </c>
      <c r="AF54" s="3">
        <f>IF(AG$9&gt;0,Assumptions!$B$82,0)</f>
        <v>200</v>
      </c>
      <c r="AG54" s="3">
        <f>IF(AH$9&gt;0,Assumptions!$B$82,0)</f>
        <v>200</v>
      </c>
      <c r="AH54" s="3">
        <f>IF(AI$9&gt;0,Assumptions!$B$82,0)</f>
        <v>200</v>
      </c>
      <c r="AI54" s="3">
        <f>IF(AJ$9&gt;0,Assumptions!$B$82,0)</f>
        <v>200</v>
      </c>
      <c r="AJ54" s="3">
        <f>IF(AK$9&gt;0,Assumptions!$B$82,0)</f>
        <v>200</v>
      </c>
      <c r="AK54" s="3">
        <f>IF(AL$9&gt;0,Assumptions!$B$82,0)</f>
        <v>200</v>
      </c>
      <c r="AL54" s="3">
        <f>IF(AM$9&gt;0,Assumptions!$B$82,0)</f>
        <v>200</v>
      </c>
      <c r="AM54" s="3">
        <f>IF(AN$9&gt;0,Assumptions!$B$82,0)</f>
        <v>200</v>
      </c>
      <c r="AN54" s="3">
        <f>IF(AO$9&gt;0,Assumptions!$B$82,0)</f>
        <v>200</v>
      </c>
      <c r="AO54" s="3">
        <f>IF(AP$9&gt;0,Assumptions!$B$82,0)</f>
        <v>200</v>
      </c>
      <c r="AP54" s="3">
        <f>IF(AQ$9&gt;0,Assumptions!$B$82,0)</f>
        <v>200</v>
      </c>
      <c r="AQ54" s="3">
        <f>IF(AR$9&gt;0,Assumptions!$B$82,0)</f>
        <v>200</v>
      </c>
      <c r="AR54" s="37">
        <f t="shared" si="96"/>
        <v>2400</v>
      </c>
      <c r="AS54" s="3">
        <f>IF(AT$9&gt;0,Assumptions!$B$82,0)</f>
        <v>200</v>
      </c>
      <c r="AT54" s="3">
        <f>IF(AU$9&gt;0,Assumptions!$B$82,0)</f>
        <v>200</v>
      </c>
      <c r="AU54" s="3">
        <f>IF(AV$9&gt;0,Assumptions!$B$82,0)</f>
        <v>200</v>
      </c>
      <c r="AV54" s="3">
        <f>IF(AW$9&gt;0,Assumptions!$B$82,0)</f>
        <v>200</v>
      </c>
      <c r="AW54" s="3">
        <f>IF(AX$9&gt;0,Assumptions!$B$82,0)</f>
        <v>200</v>
      </c>
      <c r="AX54" s="3">
        <f>IF(AY$9&gt;0,Assumptions!$B$82,0)</f>
        <v>200</v>
      </c>
      <c r="AY54" s="3">
        <f>IF(AZ$9&gt;0,Assumptions!$B$82,0)</f>
        <v>200</v>
      </c>
      <c r="AZ54" s="3">
        <f>IF(BA$9&gt;0,Assumptions!$B$82,0)</f>
        <v>200</v>
      </c>
      <c r="BA54" s="3">
        <f>IF(BB$9&gt;0,Assumptions!$B$82,0)</f>
        <v>200</v>
      </c>
      <c r="BB54" s="3">
        <f>IF(BC$9&gt;0,Assumptions!$B$82,0)</f>
        <v>200</v>
      </c>
      <c r="BC54" s="3">
        <f>IF(BD$9&gt;0,Assumptions!$B$82,0)</f>
        <v>200</v>
      </c>
      <c r="BD54" s="3">
        <f>IF(BE$9&gt;0,Assumptions!$B$82,0)</f>
        <v>200</v>
      </c>
      <c r="BE54" s="37">
        <f t="shared" si="97"/>
        <v>2400</v>
      </c>
      <c r="BF54" s="3">
        <f>IF(BG$9&gt;0,Assumptions!$B$82,0)</f>
        <v>200</v>
      </c>
      <c r="BG54" s="3">
        <f>IF(BH$9&gt;0,Assumptions!$B$82,0)</f>
        <v>200</v>
      </c>
      <c r="BH54" s="3">
        <f>IF(BI$9&gt;0,Assumptions!$B$82,0)</f>
        <v>200</v>
      </c>
      <c r="BI54" s="3">
        <f>IF(BJ$9&gt;0,Assumptions!$B$82,0)</f>
        <v>200</v>
      </c>
      <c r="BJ54" s="3">
        <f>IF(BK$9&gt;0,Assumptions!$B$82,0)</f>
        <v>200</v>
      </c>
      <c r="BK54" s="3">
        <f>IF(BL$9&gt;0,Assumptions!$B$82,0)</f>
        <v>200</v>
      </c>
      <c r="BL54" s="3">
        <f>IF(BM$9&gt;0,Assumptions!$B$82,0)</f>
        <v>200</v>
      </c>
      <c r="BM54" s="3">
        <f>IF(BN$9&gt;0,Assumptions!$B$82,0)</f>
        <v>200</v>
      </c>
      <c r="BN54" s="3">
        <f>IF(BO$9&gt;0,Assumptions!$B$82,0)</f>
        <v>200</v>
      </c>
      <c r="BO54" s="3">
        <f>IF(BP$9&gt;0,Assumptions!$B$82,0)</f>
        <v>200</v>
      </c>
      <c r="BP54" s="3">
        <f>IF(BQ$9&gt;0,Assumptions!$B$82,0)</f>
        <v>200</v>
      </c>
      <c r="BQ54" s="3">
        <f>IF(BR$9&gt;0,Assumptions!$B$82,0)</f>
        <v>200</v>
      </c>
      <c r="BR54" s="37">
        <f t="shared" si="98"/>
        <v>2400</v>
      </c>
      <c r="BS54" s="37">
        <f t="shared" si="99"/>
        <v>12000</v>
      </c>
    </row>
    <row r="55" spans="1:72" ht="15.75" customHeight="1">
      <c r="A55" s="2"/>
      <c r="B55" s="21"/>
      <c r="C55" s="21" t="s">
        <v>58</v>
      </c>
      <c r="D55" s="24"/>
      <c r="E55" s="24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7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7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7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7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7"/>
      <c r="BS55" s="37"/>
    </row>
    <row r="56" spans="1:72" ht="15.75" customHeight="1">
      <c r="A56" s="1"/>
      <c r="B56" s="21"/>
      <c r="C56" s="21"/>
      <c r="D56" s="2" t="s">
        <v>59</v>
      </c>
      <c r="E56" s="2"/>
      <c r="F56" s="3">
        <f>Assumptions!$B$83</f>
        <v>550</v>
      </c>
      <c r="G56" s="3">
        <f>Assumptions!$B$83</f>
        <v>550</v>
      </c>
      <c r="H56" s="3">
        <f>Assumptions!$B$83</f>
        <v>550</v>
      </c>
      <c r="I56" s="3">
        <f>Assumptions!$B$83</f>
        <v>550</v>
      </c>
      <c r="J56" s="3">
        <f>Assumptions!$B$83</f>
        <v>550</v>
      </c>
      <c r="K56" s="3">
        <f>Assumptions!$B$83</f>
        <v>550</v>
      </c>
      <c r="L56" s="3">
        <f>Assumptions!$B$83</f>
        <v>550</v>
      </c>
      <c r="M56" s="3">
        <f>Assumptions!$B$83</f>
        <v>550</v>
      </c>
      <c r="N56" s="3">
        <f>Assumptions!$B$83</f>
        <v>550</v>
      </c>
      <c r="O56" s="3">
        <f>Assumptions!$B$83</f>
        <v>550</v>
      </c>
      <c r="P56" s="3">
        <f>Assumptions!$B$83</f>
        <v>550</v>
      </c>
      <c r="Q56" s="3">
        <f>Assumptions!$B$83</f>
        <v>550</v>
      </c>
      <c r="R56" s="37">
        <f t="shared" ref="R56:R63" si="100">SUM(F56:Q56)</f>
        <v>6600</v>
      </c>
      <c r="S56" s="3">
        <f>Assumptions!$H$83</f>
        <v>605</v>
      </c>
      <c r="T56" s="3">
        <f>Assumptions!$H$83</f>
        <v>605</v>
      </c>
      <c r="U56" s="3">
        <f>Assumptions!$H$83</f>
        <v>605</v>
      </c>
      <c r="V56" s="3">
        <f>Assumptions!$H$83</f>
        <v>605</v>
      </c>
      <c r="W56" s="3">
        <f>Assumptions!$H$83</f>
        <v>605</v>
      </c>
      <c r="X56" s="3">
        <f>Assumptions!$H$83</f>
        <v>605</v>
      </c>
      <c r="Y56" s="3">
        <f>Assumptions!$H$83</f>
        <v>605</v>
      </c>
      <c r="Z56" s="3">
        <f>Assumptions!$H$83</f>
        <v>605</v>
      </c>
      <c r="AA56" s="3">
        <f>Assumptions!$H$83</f>
        <v>605</v>
      </c>
      <c r="AB56" s="3">
        <f>Assumptions!$H$83</f>
        <v>605</v>
      </c>
      <c r="AC56" s="3">
        <f>Assumptions!$H$83</f>
        <v>605</v>
      </c>
      <c r="AD56" s="3">
        <f>Assumptions!$H$83</f>
        <v>605</v>
      </c>
      <c r="AE56" s="37">
        <f t="shared" ref="AE56:AE63" si="101">SUM(S56:AD56)</f>
        <v>7260</v>
      </c>
      <c r="AF56" s="3">
        <f>Assumptions!$I$83</f>
        <v>650.375</v>
      </c>
      <c r="AG56" s="3">
        <f>Assumptions!$I$83</f>
        <v>650.375</v>
      </c>
      <c r="AH56" s="3">
        <f>Assumptions!$I$83</f>
        <v>650.375</v>
      </c>
      <c r="AI56" s="3">
        <f>Assumptions!$I$83</f>
        <v>650.375</v>
      </c>
      <c r="AJ56" s="3">
        <f>Assumptions!$I$83</f>
        <v>650.375</v>
      </c>
      <c r="AK56" s="3">
        <f>Assumptions!$I$83</f>
        <v>650.375</v>
      </c>
      <c r="AL56" s="3">
        <f>Assumptions!$I$83</f>
        <v>650.375</v>
      </c>
      <c r="AM56" s="3">
        <f>Assumptions!$I$83</f>
        <v>650.375</v>
      </c>
      <c r="AN56" s="3">
        <f>Assumptions!$I$83</f>
        <v>650.375</v>
      </c>
      <c r="AO56" s="3">
        <f>Assumptions!$I$83</f>
        <v>650.375</v>
      </c>
      <c r="AP56" s="3">
        <f>Assumptions!$I$83</f>
        <v>650.375</v>
      </c>
      <c r="AQ56" s="3">
        <f>Assumptions!$I$83</f>
        <v>650.375</v>
      </c>
      <c r="AR56" s="37">
        <f t="shared" ref="AR56:AR63" si="102">SUM(AF56:AQ56)</f>
        <v>7804.5</v>
      </c>
      <c r="AS56" s="3">
        <f>Assumptions!$J$83</f>
        <v>682.89375000000007</v>
      </c>
      <c r="AT56" s="3">
        <f>Assumptions!$J$83</f>
        <v>682.89375000000007</v>
      </c>
      <c r="AU56" s="3">
        <f>Assumptions!$J$83</f>
        <v>682.89375000000007</v>
      </c>
      <c r="AV56" s="3">
        <f>Assumptions!$J$83</f>
        <v>682.89375000000007</v>
      </c>
      <c r="AW56" s="3">
        <f>Assumptions!$J$83</f>
        <v>682.89375000000007</v>
      </c>
      <c r="AX56" s="3">
        <f>Assumptions!$J$83</f>
        <v>682.89375000000007</v>
      </c>
      <c r="AY56" s="3">
        <f>Assumptions!$J$83</f>
        <v>682.89375000000007</v>
      </c>
      <c r="AZ56" s="3">
        <f>Assumptions!$J$83</f>
        <v>682.89375000000007</v>
      </c>
      <c r="BA56" s="3">
        <f>Assumptions!$J$83</f>
        <v>682.89375000000007</v>
      </c>
      <c r="BB56" s="3">
        <f>Assumptions!$J$83</f>
        <v>682.89375000000007</v>
      </c>
      <c r="BC56" s="3">
        <f>Assumptions!$J$83</f>
        <v>682.89375000000007</v>
      </c>
      <c r="BD56" s="3">
        <f>Assumptions!$J$83</f>
        <v>682.89375000000007</v>
      </c>
      <c r="BE56" s="37">
        <f t="shared" ref="BE56:BE63" si="103">SUM(AS56:BD56)</f>
        <v>8194.7250000000004</v>
      </c>
      <c r="BF56" s="3">
        <f>Assumptions!$K$83</f>
        <v>699.96609375000003</v>
      </c>
      <c r="BG56" s="3">
        <f>Assumptions!$K$83</f>
        <v>699.96609375000003</v>
      </c>
      <c r="BH56" s="3">
        <f>Assumptions!$K$83</f>
        <v>699.96609375000003</v>
      </c>
      <c r="BI56" s="3">
        <f>Assumptions!$K$83</f>
        <v>699.96609375000003</v>
      </c>
      <c r="BJ56" s="3">
        <f>Assumptions!$K$83</f>
        <v>699.96609375000003</v>
      </c>
      <c r="BK56" s="3">
        <f>Assumptions!$K$83</f>
        <v>699.96609375000003</v>
      </c>
      <c r="BL56" s="3">
        <f>Assumptions!$K$83</f>
        <v>699.96609375000003</v>
      </c>
      <c r="BM56" s="3">
        <f>Assumptions!$K$83</f>
        <v>699.96609375000003</v>
      </c>
      <c r="BN56" s="3">
        <f>Assumptions!$K$83</f>
        <v>699.96609375000003</v>
      </c>
      <c r="BO56" s="3">
        <f>Assumptions!$K$83</f>
        <v>699.96609375000003</v>
      </c>
      <c r="BP56" s="3">
        <f>Assumptions!$K$83</f>
        <v>699.96609375000003</v>
      </c>
      <c r="BQ56" s="3">
        <f>Assumptions!$K$83</f>
        <v>699.96609375000003</v>
      </c>
      <c r="BR56" s="37">
        <f t="shared" ref="BR56:BR63" si="104">SUM(BF56:BQ56)</f>
        <v>8399.5931250000012</v>
      </c>
      <c r="BS56" s="37">
        <f t="shared" ref="BS56:BS63" si="105">R56+AE56+AR56+BE56+BR56</f>
        <v>38258.818124999998</v>
      </c>
    </row>
    <row r="57" spans="1:72" ht="15.75" customHeight="1">
      <c r="A57" s="2"/>
      <c r="B57" s="21"/>
      <c r="C57" s="21"/>
      <c r="D57" s="2" t="s">
        <v>60</v>
      </c>
      <c r="E57" s="2"/>
      <c r="F57" s="3">
        <f>Assumptions!$B$84++IF(Assumptions!$B$44="Yes",IF(F$6=Assumptions!$B$46,Assumptions!$B$45,0),0)</f>
        <v>5100</v>
      </c>
      <c r="G57" s="3">
        <f>Assumptions!$B$84++IF(Assumptions!$B$44="Yes",IF(G$6=Assumptions!$B$46,Assumptions!$B$45,0),0)</f>
        <v>100</v>
      </c>
      <c r="H57" s="3">
        <f>Assumptions!$B$84++IF(Assumptions!$B$44="Yes",IF(H$6=Assumptions!$B$46,Assumptions!$B$45,0),0)</f>
        <v>100</v>
      </c>
      <c r="I57" s="3">
        <f>Assumptions!$B$84++IF(Assumptions!$B$44="Yes",IF(I$6=Assumptions!$B$46,Assumptions!$B$45,0),0)</f>
        <v>100</v>
      </c>
      <c r="J57" s="3">
        <f>Assumptions!$B$84++IF(Assumptions!$B$44="Yes",IF(J$6=Assumptions!$B$46,Assumptions!$B$45,0),0)</f>
        <v>100</v>
      </c>
      <c r="K57" s="3">
        <f>Assumptions!$B$84++IF(Assumptions!$B$44="Yes",IF(K$6=Assumptions!$B$46,Assumptions!$B$45,0),0)</f>
        <v>100</v>
      </c>
      <c r="L57" s="3">
        <f>Assumptions!$B$84++IF(Assumptions!$B$44="Yes",IF(L$6=Assumptions!$B$46,Assumptions!$B$45,0),0)</f>
        <v>100</v>
      </c>
      <c r="M57" s="3">
        <f>Assumptions!$B$84++IF(Assumptions!$B$44="Yes",IF(M$6=Assumptions!$B$46,Assumptions!$B$45,0),0)</f>
        <v>100</v>
      </c>
      <c r="N57" s="3">
        <f>Assumptions!$B$84++IF(Assumptions!$B$44="Yes",IF(N$6=Assumptions!$B$46,Assumptions!$B$45,0),0)</f>
        <v>100</v>
      </c>
      <c r="O57" s="3">
        <f>Assumptions!$B$84++IF(Assumptions!$B$44="Yes",IF(O$6=Assumptions!$B$46,Assumptions!$B$45,0),0)</f>
        <v>100</v>
      </c>
      <c r="P57" s="3">
        <f>Assumptions!$B$84++IF(Assumptions!$B$44="Yes",IF(P$6=Assumptions!$B$46,Assumptions!$B$45,0),0)</f>
        <v>100</v>
      </c>
      <c r="Q57" s="3">
        <f>Assumptions!$B$84++IF(Assumptions!$B$44="Yes",IF(Q$6=Assumptions!$B$46,Assumptions!$B$45,0),0)</f>
        <v>100</v>
      </c>
      <c r="R57" s="37">
        <f t="shared" si="100"/>
        <v>6200</v>
      </c>
      <c r="S57" s="3">
        <f>Assumptions!$H$84</f>
        <v>105</v>
      </c>
      <c r="T57" s="3">
        <f>Assumptions!$H$84</f>
        <v>105</v>
      </c>
      <c r="U57" s="3">
        <f>Assumptions!$H$84</f>
        <v>105</v>
      </c>
      <c r="V57" s="3">
        <f>Assumptions!$H$84</f>
        <v>105</v>
      </c>
      <c r="W57" s="3">
        <f>Assumptions!$H$84</f>
        <v>105</v>
      </c>
      <c r="X57" s="3">
        <f>Assumptions!$H$84</f>
        <v>105</v>
      </c>
      <c r="Y57" s="3">
        <f>Assumptions!$H$84</f>
        <v>105</v>
      </c>
      <c r="Z57" s="3">
        <f>Assumptions!$H$84</f>
        <v>105</v>
      </c>
      <c r="AA57" s="3">
        <f>Assumptions!$H$84</f>
        <v>105</v>
      </c>
      <c r="AB57" s="3">
        <f>Assumptions!$H$84</f>
        <v>105</v>
      </c>
      <c r="AC57" s="3">
        <f>Assumptions!$H$84</f>
        <v>105</v>
      </c>
      <c r="AD57" s="3">
        <f>Assumptions!$H$84</f>
        <v>105</v>
      </c>
      <c r="AE57" s="37">
        <f t="shared" si="101"/>
        <v>1260</v>
      </c>
      <c r="AF57" s="3">
        <f>Assumptions!$I$84</f>
        <v>110.25</v>
      </c>
      <c r="AG57" s="3">
        <f>Assumptions!$I$84</f>
        <v>110.25</v>
      </c>
      <c r="AH57" s="3">
        <f>Assumptions!$I$84</f>
        <v>110.25</v>
      </c>
      <c r="AI57" s="3">
        <f>Assumptions!$I$84</f>
        <v>110.25</v>
      </c>
      <c r="AJ57" s="3">
        <f>Assumptions!$I$84</f>
        <v>110.25</v>
      </c>
      <c r="AK57" s="3">
        <f>Assumptions!$I$84</f>
        <v>110.25</v>
      </c>
      <c r="AL57" s="3">
        <f>Assumptions!$I$84</f>
        <v>110.25</v>
      </c>
      <c r="AM57" s="3">
        <f>Assumptions!$I$84</f>
        <v>110.25</v>
      </c>
      <c r="AN57" s="3">
        <f>Assumptions!$I$84</f>
        <v>110.25</v>
      </c>
      <c r="AO57" s="3">
        <f>Assumptions!$I$84</f>
        <v>110.25</v>
      </c>
      <c r="AP57" s="3">
        <f>Assumptions!$I$84</f>
        <v>110.25</v>
      </c>
      <c r="AQ57" s="3">
        <f>Assumptions!$I$84</f>
        <v>110.25</v>
      </c>
      <c r="AR57" s="37">
        <f t="shared" si="102"/>
        <v>1323</v>
      </c>
      <c r="AS57" s="3">
        <f>Assumptions!$J$84</f>
        <v>115.7625</v>
      </c>
      <c r="AT57" s="3">
        <f>Assumptions!$J$84</f>
        <v>115.7625</v>
      </c>
      <c r="AU57" s="3">
        <f>Assumptions!$J$84</f>
        <v>115.7625</v>
      </c>
      <c r="AV57" s="3">
        <f>Assumptions!$J$84</f>
        <v>115.7625</v>
      </c>
      <c r="AW57" s="3">
        <f>Assumptions!$J$84</f>
        <v>115.7625</v>
      </c>
      <c r="AX57" s="3">
        <f>Assumptions!$J$84</f>
        <v>115.7625</v>
      </c>
      <c r="AY57" s="3">
        <f>Assumptions!$J$84</f>
        <v>115.7625</v>
      </c>
      <c r="AZ57" s="3">
        <f>Assumptions!$J$84</f>
        <v>115.7625</v>
      </c>
      <c r="BA57" s="3">
        <f>Assumptions!$J$84</f>
        <v>115.7625</v>
      </c>
      <c r="BB57" s="3">
        <f>Assumptions!$J$84</f>
        <v>115.7625</v>
      </c>
      <c r="BC57" s="3">
        <f>Assumptions!$J$84</f>
        <v>115.7625</v>
      </c>
      <c r="BD57" s="3">
        <f>Assumptions!$J$84</f>
        <v>115.7625</v>
      </c>
      <c r="BE57" s="37">
        <f t="shared" si="103"/>
        <v>1389.1500000000003</v>
      </c>
      <c r="BF57" s="3">
        <f>Assumptions!$K$84</f>
        <v>121.55062500000001</v>
      </c>
      <c r="BG57" s="3">
        <f>Assumptions!$K$84</f>
        <v>121.55062500000001</v>
      </c>
      <c r="BH57" s="3">
        <f>Assumptions!$K$84</f>
        <v>121.55062500000001</v>
      </c>
      <c r="BI57" s="3">
        <f>Assumptions!$K$84</f>
        <v>121.55062500000001</v>
      </c>
      <c r="BJ57" s="3">
        <f>Assumptions!$K$84</f>
        <v>121.55062500000001</v>
      </c>
      <c r="BK57" s="3">
        <f>Assumptions!$K$84</f>
        <v>121.55062500000001</v>
      </c>
      <c r="BL57" s="3">
        <f>Assumptions!$K$84</f>
        <v>121.55062500000001</v>
      </c>
      <c r="BM57" s="3">
        <f>Assumptions!$K$84</f>
        <v>121.55062500000001</v>
      </c>
      <c r="BN57" s="3">
        <f>Assumptions!$K$84</f>
        <v>121.55062500000001</v>
      </c>
      <c r="BO57" s="3">
        <f>Assumptions!$K$84</f>
        <v>121.55062500000001</v>
      </c>
      <c r="BP57" s="3">
        <f>Assumptions!$K$84</f>
        <v>121.55062500000001</v>
      </c>
      <c r="BQ57" s="3">
        <f>Assumptions!$K$84</f>
        <v>121.55062500000001</v>
      </c>
      <c r="BR57" s="37">
        <f t="shared" si="104"/>
        <v>1458.6075000000003</v>
      </c>
      <c r="BS57" s="37">
        <f t="shared" si="105"/>
        <v>11630.7575</v>
      </c>
    </row>
    <row r="58" spans="1:72" ht="15.75" customHeight="1">
      <c r="A58" s="2"/>
      <c r="B58" s="21"/>
      <c r="C58" s="21"/>
      <c r="D58" s="2" t="s">
        <v>61</v>
      </c>
      <c r="E58" s="2"/>
      <c r="F58" s="3">
        <f>Assumptions!$B$85</f>
        <v>100</v>
      </c>
      <c r="G58" s="3">
        <f>Assumptions!$B$85</f>
        <v>100</v>
      </c>
      <c r="H58" s="3">
        <f>Assumptions!$B$85</f>
        <v>100</v>
      </c>
      <c r="I58" s="3">
        <f>Assumptions!$B$85</f>
        <v>100</v>
      </c>
      <c r="J58" s="3">
        <f>Assumptions!$B$85</f>
        <v>100</v>
      </c>
      <c r="K58" s="3">
        <f>Assumptions!$B$85</f>
        <v>100</v>
      </c>
      <c r="L58" s="3">
        <f>Assumptions!$B$85</f>
        <v>100</v>
      </c>
      <c r="M58" s="3">
        <f>Assumptions!$B$85</f>
        <v>100</v>
      </c>
      <c r="N58" s="3">
        <f>Assumptions!$B$85</f>
        <v>100</v>
      </c>
      <c r="O58" s="3">
        <f>Assumptions!$B$85</f>
        <v>100</v>
      </c>
      <c r="P58" s="3">
        <f>Assumptions!$B$85</f>
        <v>100</v>
      </c>
      <c r="Q58" s="3">
        <f>Assumptions!$B$85</f>
        <v>100</v>
      </c>
      <c r="R58" s="37">
        <f t="shared" si="100"/>
        <v>1200</v>
      </c>
      <c r="S58" s="3">
        <f>Assumptions!$H$85</f>
        <v>105</v>
      </c>
      <c r="T58" s="3">
        <f>Assumptions!$H$85</f>
        <v>105</v>
      </c>
      <c r="U58" s="3">
        <f>Assumptions!$H$85</f>
        <v>105</v>
      </c>
      <c r="V58" s="3">
        <f>Assumptions!$H$85</f>
        <v>105</v>
      </c>
      <c r="W58" s="3">
        <f>Assumptions!$H$85</f>
        <v>105</v>
      </c>
      <c r="X58" s="3">
        <f>Assumptions!$H$85</f>
        <v>105</v>
      </c>
      <c r="Y58" s="3">
        <f>Assumptions!$H$85</f>
        <v>105</v>
      </c>
      <c r="Z58" s="3">
        <f>Assumptions!$H$85</f>
        <v>105</v>
      </c>
      <c r="AA58" s="3">
        <f>Assumptions!$H$85</f>
        <v>105</v>
      </c>
      <c r="AB58" s="3">
        <f>Assumptions!$H$85</f>
        <v>105</v>
      </c>
      <c r="AC58" s="3">
        <f>Assumptions!$H$85</f>
        <v>105</v>
      </c>
      <c r="AD58" s="3">
        <f>Assumptions!$H$85</f>
        <v>105</v>
      </c>
      <c r="AE58" s="37">
        <f t="shared" si="101"/>
        <v>1260</v>
      </c>
      <c r="AF58" s="3">
        <f>Assumptions!$I$85</f>
        <v>110.25</v>
      </c>
      <c r="AG58" s="3">
        <f>Assumptions!$I$85</f>
        <v>110.25</v>
      </c>
      <c r="AH58" s="3">
        <f>Assumptions!$I$85</f>
        <v>110.25</v>
      </c>
      <c r="AI58" s="3">
        <f>Assumptions!$I$85</f>
        <v>110.25</v>
      </c>
      <c r="AJ58" s="3">
        <f>Assumptions!$I$85</f>
        <v>110.25</v>
      </c>
      <c r="AK58" s="3">
        <f>Assumptions!$I$85</f>
        <v>110.25</v>
      </c>
      <c r="AL58" s="3">
        <f>Assumptions!$I$85</f>
        <v>110.25</v>
      </c>
      <c r="AM58" s="3">
        <f>Assumptions!$I$85</f>
        <v>110.25</v>
      </c>
      <c r="AN58" s="3">
        <f>Assumptions!$I$85</f>
        <v>110.25</v>
      </c>
      <c r="AO58" s="3">
        <f>Assumptions!$I$85</f>
        <v>110.25</v>
      </c>
      <c r="AP58" s="3">
        <f>Assumptions!$I$85</f>
        <v>110.25</v>
      </c>
      <c r="AQ58" s="3">
        <f>Assumptions!$I$85</f>
        <v>110.25</v>
      </c>
      <c r="AR58" s="37">
        <f t="shared" si="102"/>
        <v>1323</v>
      </c>
      <c r="AS58" s="3">
        <f>Assumptions!$J$85</f>
        <v>115.7625</v>
      </c>
      <c r="AT58" s="3">
        <f>Assumptions!$J$85</f>
        <v>115.7625</v>
      </c>
      <c r="AU58" s="3">
        <f>Assumptions!$J$85</f>
        <v>115.7625</v>
      </c>
      <c r="AV58" s="3">
        <f>Assumptions!$J$85</f>
        <v>115.7625</v>
      </c>
      <c r="AW58" s="3">
        <f>Assumptions!$J$85</f>
        <v>115.7625</v>
      </c>
      <c r="AX58" s="3">
        <f>Assumptions!$J$85</f>
        <v>115.7625</v>
      </c>
      <c r="AY58" s="3">
        <f>Assumptions!$J$85</f>
        <v>115.7625</v>
      </c>
      <c r="AZ58" s="3">
        <f>Assumptions!$J$85</f>
        <v>115.7625</v>
      </c>
      <c r="BA58" s="3">
        <f>Assumptions!$J$85</f>
        <v>115.7625</v>
      </c>
      <c r="BB58" s="3">
        <f>Assumptions!$J$85</f>
        <v>115.7625</v>
      </c>
      <c r="BC58" s="3">
        <f>Assumptions!$J$85</f>
        <v>115.7625</v>
      </c>
      <c r="BD58" s="3">
        <f>Assumptions!$J$85</f>
        <v>115.7625</v>
      </c>
      <c r="BE58" s="37">
        <f t="shared" si="103"/>
        <v>1389.1500000000003</v>
      </c>
      <c r="BF58" s="3">
        <f>Assumptions!$K$85</f>
        <v>121.55062500000001</v>
      </c>
      <c r="BG58" s="3">
        <f>Assumptions!$K$85</f>
        <v>121.55062500000001</v>
      </c>
      <c r="BH58" s="3">
        <f>Assumptions!$K$85</f>
        <v>121.55062500000001</v>
      </c>
      <c r="BI58" s="3">
        <f>Assumptions!$K$85</f>
        <v>121.55062500000001</v>
      </c>
      <c r="BJ58" s="3">
        <f>Assumptions!$K$85</f>
        <v>121.55062500000001</v>
      </c>
      <c r="BK58" s="3">
        <f>Assumptions!$K$85</f>
        <v>121.55062500000001</v>
      </c>
      <c r="BL58" s="3">
        <f>Assumptions!$K$85</f>
        <v>121.55062500000001</v>
      </c>
      <c r="BM58" s="3">
        <f>Assumptions!$K$85</f>
        <v>121.55062500000001</v>
      </c>
      <c r="BN58" s="3">
        <f>Assumptions!$K$85</f>
        <v>121.55062500000001</v>
      </c>
      <c r="BO58" s="3">
        <f>Assumptions!$K$85</f>
        <v>121.55062500000001</v>
      </c>
      <c r="BP58" s="3">
        <f>Assumptions!$K$85</f>
        <v>121.55062500000001</v>
      </c>
      <c r="BQ58" s="3">
        <f>Assumptions!$K$85</f>
        <v>121.55062500000001</v>
      </c>
      <c r="BR58" s="37">
        <f t="shared" si="104"/>
        <v>1458.6075000000003</v>
      </c>
      <c r="BS58" s="37">
        <f t="shared" si="105"/>
        <v>6630.7575000000006</v>
      </c>
    </row>
    <row r="59" spans="1:72" ht="15.75" customHeight="1">
      <c r="A59" s="2"/>
      <c r="B59" s="21"/>
      <c r="C59" s="21" t="s">
        <v>62</v>
      </c>
      <c r="D59" s="2"/>
      <c r="E59" s="2"/>
      <c r="F59" s="328">
        <f>Assumptions!$B$86</f>
        <v>500</v>
      </c>
      <c r="G59" s="328">
        <f>Assumptions!$B$86</f>
        <v>500</v>
      </c>
      <c r="H59" s="328">
        <f>Assumptions!$B$86</f>
        <v>500</v>
      </c>
      <c r="I59" s="328">
        <f>Assumptions!$B$86</f>
        <v>500</v>
      </c>
      <c r="J59" s="328">
        <f>Assumptions!$B$86</f>
        <v>500</v>
      </c>
      <c r="K59" s="328">
        <f>Assumptions!$B$86</f>
        <v>500</v>
      </c>
      <c r="L59" s="328">
        <f>Assumptions!$B$86</f>
        <v>500</v>
      </c>
      <c r="M59" s="328">
        <f>Assumptions!$B$86</f>
        <v>500</v>
      </c>
      <c r="N59" s="328">
        <f>Assumptions!$B$86</f>
        <v>500</v>
      </c>
      <c r="O59" s="328">
        <f>Assumptions!$B$86</f>
        <v>500</v>
      </c>
      <c r="P59" s="328">
        <f>Assumptions!$B$86</f>
        <v>500</v>
      </c>
      <c r="Q59" s="328">
        <f>Assumptions!$B$86</f>
        <v>500</v>
      </c>
      <c r="R59" s="37">
        <f t="shared" si="100"/>
        <v>6000</v>
      </c>
      <c r="S59" s="328">
        <f>Assumptions!$H$86</f>
        <v>525</v>
      </c>
      <c r="T59" s="328">
        <f>Assumptions!$H$86</f>
        <v>525</v>
      </c>
      <c r="U59" s="328">
        <f>Assumptions!$H$86</f>
        <v>525</v>
      </c>
      <c r="V59" s="328">
        <f>Assumptions!$H$86</f>
        <v>525</v>
      </c>
      <c r="W59" s="328">
        <f>Assumptions!$H$86</f>
        <v>525</v>
      </c>
      <c r="X59" s="328">
        <f>Assumptions!$H$86</f>
        <v>525</v>
      </c>
      <c r="Y59" s="328">
        <f>Assumptions!$H$86</f>
        <v>525</v>
      </c>
      <c r="Z59" s="328">
        <f>Assumptions!$H$86</f>
        <v>525</v>
      </c>
      <c r="AA59" s="328">
        <f>Assumptions!$H$86</f>
        <v>525</v>
      </c>
      <c r="AB59" s="328">
        <f>Assumptions!$H$86</f>
        <v>525</v>
      </c>
      <c r="AC59" s="328">
        <f>Assumptions!$H$86</f>
        <v>525</v>
      </c>
      <c r="AD59" s="328">
        <f>Assumptions!$H$86</f>
        <v>525</v>
      </c>
      <c r="AE59" s="37">
        <f t="shared" si="101"/>
        <v>6300</v>
      </c>
      <c r="AF59" s="328">
        <f>Assumptions!$I$86</f>
        <v>577.5</v>
      </c>
      <c r="AG59" s="328">
        <f>Assumptions!$I$86</f>
        <v>577.5</v>
      </c>
      <c r="AH59" s="328">
        <f>Assumptions!$I$86</f>
        <v>577.5</v>
      </c>
      <c r="AI59" s="328">
        <f>Assumptions!$I$86</f>
        <v>577.5</v>
      </c>
      <c r="AJ59" s="328">
        <f>Assumptions!$I$86</f>
        <v>577.5</v>
      </c>
      <c r="AK59" s="328">
        <f>Assumptions!$I$86</f>
        <v>577.5</v>
      </c>
      <c r="AL59" s="328">
        <f>Assumptions!$I$86</f>
        <v>577.5</v>
      </c>
      <c r="AM59" s="328">
        <f>Assumptions!$I$86</f>
        <v>577.5</v>
      </c>
      <c r="AN59" s="328">
        <f>Assumptions!$I$86</f>
        <v>577.5</v>
      </c>
      <c r="AO59" s="328">
        <f>Assumptions!$I$86</f>
        <v>577.5</v>
      </c>
      <c r="AP59" s="328">
        <f>Assumptions!$I$86</f>
        <v>577.5</v>
      </c>
      <c r="AQ59" s="328">
        <f>Assumptions!$I$86</f>
        <v>577.5</v>
      </c>
      <c r="AR59" s="37">
        <f t="shared" si="102"/>
        <v>6930</v>
      </c>
      <c r="AS59" s="328">
        <f>Assumptions!$J$86</f>
        <v>649.6875</v>
      </c>
      <c r="AT59" s="328">
        <f>Assumptions!$J$86</f>
        <v>649.6875</v>
      </c>
      <c r="AU59" s="328">
        <f>Assumptions!$J$86</f>
        <v>649.6875</v>
      </c>
      <c r="AV59" s="328">
        <f>Assumptions!$J$86</f>
        <v>649.6875</v>
      </c>
      <c r="AW59" s="328">
        <f>Assumptions!$J$86</f>
        <v>649.6875</v>
      </c>
      <c r="AX59" s="328">
        <f>Assumptions!$J$86</f>
        <v>649.6875</v>
      </c>
      <c r="AY59" s="328">
        <f>Assumptions!$J$86</f>
        <v>649.6875</v>
      </c>
      <c r="AZ59" s="328">
        <f>Assumptions!$J$86</f>
        <v>649.6875</v>
      </c>
      <c r="BA59" s="328">
        <f>Assumptions!$J$86</f>
        <v>649.6875</v>
      </c>
      <c r="BB59" s="328">
        <f>Assumptions!$J$86</f>
        <v>649.6875</v>
      </c>
      <c r="BC59" s="328">
        <f>Assumptions!$J$86</f>
        <v>649.6875</v>
      </c>
      <c r="BD59" s="328">
        <f>Assumptions!$J$86</f>
        <v>649.6875</v>
      </c>
      <c r="BE59" s="37">
        <f t="shared" si="103"/>
        <v>7796.25</v>
      </c>
      <c r="BF59" s="328">
        <f>Assumptions!$K$86</f>
        <v>747.14062499999989</v>
      </c>
      <c r="BG59" s="328">
        <f>Assumptions!$K$86</f>
        <v>747.14062499999989</v>
      </c>
      <c r="BH59" s="328">
        <f>Assumptions!$K$86</f>
        <v>747.14062499999989</v>
      </c>
      <c r="BI59" s="328">
        <f>Assumptions!$K$86</f>
        <v>747.14062499999989</v>
      </c>
      <c r="BJ59" s="328">
        <f>Assumptions!$K$86</f>
        <v>747.14062499999989</v>
      </c>
      <c r="BK59" s="328">
        <f>Assumptions!$K$86</f>
        <v>747.14062499999989</v>
      </c>
      <c r="BL59" s="328">
        <f>Assumptions!$K$86</f>
        <v>747.14062499999989</v>
      </c>
      <c r="BM59" s="328">
        <f>Assumptions!$K$86</f>
        <v>747.14062499999989</v>
      </c>
      <c r="BN59" s="328">
        <f>Assumptions!$K$86</f>
        <v>747.14062499999989</v>
      </c>
      <c r="BO59" s="328">
        <f>Assumptions!$K$86</f>
        <v>747.14062499999989</v>
      </c>
      <c r="BP59" s="328">
        <f>Assumptions!$K$86</f>
        <v>747.14062499999989</v>
      </c>
      <c r="BQ59" s="328">
        <f>Assumptions!$K$86</f>
        <v>747.14062499999989</v>
      </c>
      <c r="BR59" s="37">
        <f t="shared" si="104"/>
        <v>8965.6874999999982</v>
      </c>
      <c r="BS59" s="37">
        <f t="shared" si="105"/>
        <v>35991.9375</v>
      </c>
    </row>
    <row r="60" spans="1:72" ht="15.75" customHeight="1">
      <c r="A60" s="2"/>
      <c r="B60" s="21"/>
      <c r="C60" s="21" t="s">
        <v>63</v>
      </c>
      <c r="D60" s="2"/>
      <c r="E60" s="2"/>
      <c r="F60" s="3">
        <f>Assumptions!$B$87*F8</f>
        <v>0</v>
      </c>
      <c r="G60" s="3">
        <f>Assumptions!$B$87*G8</f>
        <v>0</v>
      </c>
      <c r="H60" s="3">
        <f>Assumptions!$B$87*H8</f>
        <v>0</v>
      </c>
      <c r="I60" s="3">
        <f>Assumptions!$B$87*I8</f>
        <v>0</v>
      </c>
      <c r="J60" s="3">
        <f>Assumptions!$B$87*J8</f>
        <v>0</v>
      </c>
      <c r="K60" s="3">
        <f>Assumptions!$B$87*K8</f>
        <v>0</v>
      </c>
      <c r="L60" s="3">
        <f>Assumptions!$B$87*L8</f>
        <v>0</v>
      </c>
      <c r="M60" s="3">
        <f>Assumptions!$B$87*M8</f>
        <v>0</v>
      </c>
      <c r="N60" s="3">
        <f>Assumptions!$B$87*N8</f>
        <v>0</v>
      </c>
      <c r="O60" s="3">
        <f>Assumptions!$B$87*O8</f>
        <v>0</v>
      </c>
      <c r="P60" s="3">
        <f>Assumptions!$B$87*P8</f>
        <v>0</v>
      </c>
      <c r="Q60" s="3">
        <f>Assumptions!$B$87*Q8</f>
        <v>0</v>
      </c>
      <c r="R60" s="37">
        <f t="shared" si="100"/>
        <v>0</v>
      </c>
      <c r="S60" s="3">
        <f>Assumptions!$H$87*S8</f>
        <v>0</v>
      </c>
      <c r="T60" s="3">
        <f>Assumptions!$H$87*T8</f>
        <v>0</v>
      </c>
      <c r="U60" s="3">
        <f>Assumptions!$H$87*U8</f>
        <v>0</v>
      </c>
      <c r="V60" s="3">
        <f>Assumptions!$H$87*V8</f>
        <v>0</v>
      </c>
      <c r="W60" s="3">
        <f>Assumptions!$H$87*W8</f>
        <v>0</v>
      </c>
      <c r="X60" s="3">
        <f>Assumptions!$H$87*X8</f>
        <v>0</v>
      </c>
      <c r="Y60" s="3">
        <f>Assumptions!$H$87*Y8</f>
        <v>0</v>
      </c>
      <c r="Z60" s="3">
        <f>Assumptions!$H$87*Z8</f>
        <v>0</v>
      </c>
      <c r="AA60" s="3">
        <f>Assumptions!$H$87*AA8</f>
        <v>0</v>
      </c>
      <c r="AB60" s="3">
        <f>Assumptions!$H$87*AB8</f>
        <v>0</v>
      </c>
      <c r="AC60" s="3">
        <f>Assumptions!$H$87*AC8</f>
        <v>0</v>
      </c>
      <c r="AD60" s="3">
        <f>Assumptions!$H$87*AD8</f>
        <v>0</v>
      </c>
      <c r="AE60" s="37">
        <f t="shared" si="101"/>
        <v>0</v>
      </c>
      <c r="AF60" s="3">
        <f>Assumptions!$I$87*AF8</f>
        <v>0</v>
      </c>
      <c r="AG60" s="3">
        <f>Assumptions!$I$87*AG8</f>
        <v>0</v>
      </c>
      <c r="AH60" s="3">
        <f>Assumptions!$I$87*AH8</f>
        <v>0</v>
      </c>
      <c r="AI60" s="3">
        <f>Assumptions!$I$87*AI8</f>
        <v>0</v>
      </c>
      <c r="AJ60" s="3">
        <f>Assumptions!$I$87*AJ8</f>
        <v>0</v>
      </c>
      <c r="AK60" s="3">
        <f>Assumptions!$I$87*AK8</f>
        <v>0</v>
      </c>
      <c r="AL60" s="3">
        <f>Assumptions!$I$87*AL8</f>
        <v>0</v>
      </c>
      <c r="AM60" s="3">
        <f>Assumptions!$I$87*AM8</f>
        <v>0</v>
      </c>
      <c r="AN60" s="3">
        <f>Assumptions!$I$87*AN8</f>
        <v>0</v>
      </c>
      <c r="AO60" s="3">
        <f>Assumptions!$I$87*AO8</f>
        <v>0</v>
      </c>
      <c r="AP60" s="3">
        <f>Assumptions!$I$87*AP8</f>
        <v>0</v>
      </c>
      <c r="AQ60" s="3">
        <f>Assumptions!$I$87*AQ8</f>
        <v>0</v>
      </c>
      <c r="AR60" s="37">
        <f t="shared" si="102"/>
        <v>0</v>
      </c>
      <c r="AS60" s="3">
        <f>Assumptions!$J$87*AS8</f>
        <v>0</v>
      </c>
      <c r="AT60" s="3">
        <f>Assumptions!$J$87*AT8</f>
        <v>0</v>
      </c>
      <c r="AU60" s="3">
        <f>Assumptions!$J$87*AU8</f>
        <v>0</v>
      </c>
      <c r="AV60" s="3">
        <f>Assumptions!$J$87*AV8</f>
        <v>0</v>
      </c>
      <c r="AW60" s="3">
        <f>Assumptions!$J$87*AW8</f>
        <v>0</v>
      </c>
      <c r="AX60" s="3">
        <f>Assumptions!$J$87*AX8</f>
        <v>0</v>
      </c>
      <c r="AY60" s="3">
        <f>Assumptions!$J$87*AY8</f>
        <v>0</v>
      </c>
      <c r="AZ60" s="3">
        <f>Assumptions!$J$87*AZ8</f>
        <v>0</v>
      </c>
      <c r="BA60" s="3">
        <f>Assumptions!$J$87*BA8</f>
        <v>0</v>
      </c>
      <c r="BB60" s="3">
        <f>Assumptions!$J$87*BB8</f>
        <v>0</v>
      </c>
      <c r="BC60" s="3">
        <f>Assumptions!$J$87*BC8</f>
        <v>0</v>
      </c>
      <c r="BD60" s="3">
        <f>Assumptions!$J$87*BD8</f>
        <v>0</v>
      </c>
      <c r="BE60" s="37">
        <f t="shared" si="103"/>
        <v>0</v>
      </c>
      <c r="BF60" s="3">
        <f>Assumptions!$K$87*BF8</f>
        <v>0</v>
      </c>
      <c r="BG60" s="3">
        <f>Assumptions!$K$87*BG8</f>
        <v>0</v>
      </c>
      <c r="BH60" s="3">
        <f>Assumptions!$K$87*BH8</f>
        <v>0</v>
      </c>
      <c r="BI60" s="3">
        <f>Assumptions!$K$87*BI8</f>
        <v>0</v>
      </c>
      <c r="BJ60" s="3">
        <f>Assumptions!$K$87*BJ8</f>
        <v>0</v>
      </c>
      <c r="BK60" s="3">
        <f>Assumptions!$K$87*BK8</f>
        <v>0</v>
      </c>
      <c r="BL60" s="3">
        <f>Assumptions!$K$87*BL8</f>
        <v>0</v>
      </c>
      <c r="BM60" s="3">
        <f>Assumptions!$K$87*BM8</f>
        <v>0</v>
      </c>
      <c r="BN60" s="3">
        <f>Assumptions!$K$87*BN8</f>
        <v>0</v>
      </c>
      <c r="BO60" s="3">
        <f>Assumptions!$K$87*BO8</f>
        <v>0</v>
      </c>
      <c r="BP60" s="3">
        <f>Assumptions!$K$87*BP8</f>
        <v>0</v>
      </c>
      <c r="BQ60" s="3">
        <f>Assumptions!$K$87*BQ8</f>
        <v>0</v>
      </c>
      <c r="BR60" s="37">
        <f t="shared" si="104"/>
        <v>0</v>
      </c>
      <c r="BS60" s="37">
        <f t="shared" si="105"/>
        <v>0</v>
      </c>
    </row>
    <row r="61" spans="1:72" ht="15.75" customHeight="1">
      <c r="A61" s="2"/>
      <c r="B61" s="21"/>
      <c r="C61" s="24" t="s">
        <v>64</v>
      </c>
      <c r="D61" s="24"/>
      <c r="E61" s="24"/>
      <c r="F61" s="3">
        <f>Assumptions!$B$88</f>
        <v>200</v>
      </c>
      <c r="G61" s="3">
        <f>Assumptions!$B$88</f>
        <v>200</v>
      </c>
      <c r="H61" s="3">
        <f>Assumptions!$B$88</f>
        <v>200</v>
      </c>
      <c r="I61" s="3">
        <f>Assumptions!$B$88</f>
        <v>200</v>
      </c>
      <c r="J61" s="3">
        <f>Assumptions!$B$88</f>
        <v>200</v>
      </c>
      <c r="K61" s="3">
        <f>Assumptions!$B$88</f>
        <v>200</v>
      </c>
      <c r="L61" s="3">
        <f>Assumptions!$B$88</f>
        <v>200</v>
      </c>
      <c r="M61" s="3">
        <f>Assumptions!$B$88</f>
        <v>200</v>
      </c>
      <c r="N61" s="3">
        <f>Assumptions!$B$88</f>
        <v>200</v>
      </c>
      <c r="O61" s="3">
        <f>Assumptions!$B$88</f>
        <v>200</v>
      </c>
      <c r="P61" s="3">
        <f>Assumptions!$B$88</f>
        <v>200</v>
      </c>
      <c r="Q61" s="3">
        <f>Assumptions!$B$88</f>
        <v>200</v>
      </c>
      <c r="R61" s="37">
        <f t="shared" si="100"/>
        <v>2400</v>
      </c>
      <c r="S61" s="3">
        <f>Assumptions!$H$88</f>
        <v>210</v>
      </c>
      <c r="T61" s="3">
        <f>Assumptions!$H$88</f>
        <v>210</v>
      </c>
      <c r="U61" s="3">
        <f>Assumptions!$H$88</f>
        <v>210</v>
      </c>
      <c r="V61" s="3">
        <f>Assumptions!$H$88</f>
        <v>210</v>
      </c>
      <c r="W61" s="3">
        <f>Assumptions!$H$88</f>
        <v>210</v>
      </c>
      <c r="X61" s="3">
        <f>Assumptions!$H$88</f>
        <v>210</v>
      </c>
      <c r="Y61" s="3">
        <f>Assumptions!$H$88</f>
        <v>210</v>
      </c>
      <c r="Z61" s="3">
        <f>Assumptions!$H$88</f>
        <v>210</v>
      </c>
      <c r="AA61" s="3">
        <f>Assumptions!$H$88</f>
        <v>210</v>
      </c>
      <c r="AB61" s="3">
        <f>Assumptions!$H$88</f>
        <v>210</v>
      </c>
      <c r="AC61" s="3">
        <f>Assumptions!$H$88</f>
        <v>210</v>
      </c>
      <c r="AD61" s="3">
        <f>Assumptions!$H$88</f>
        <v>210</v>
      </c>
      <c r="AE61" s="37">
        <f t="shared" si="101"/>
        <v>2520</v>
      </c>
      <c r="AF61" s="3">
        <f>Assumptions!$I$88</f>
        <v>220.5</v>
      </c>
      <c r="AG61" s="3">
        <f>Assumptions!$I$88</f>
        <v>220.5</v>
      </c>
      <c r="AH61" s="3">
        <f>Assumptions!$I$88</f>
        <v>220.5</v>
      </c>
      <c r="AI61" s="3">
        <f>Assumptions!$I$88</f>
        <v>220.5</v>
      </c>
      <c r="AJ61" s="3">
        <f>Assumptions!$I$88</f>
        <v>220.5</v>
      </c>
      <c r="AK61" s="3">
        <f>Assumptions!$I$88</f>
        <v>220.5</v>
      </c>
      <c r="AL61" s="3">
        <f>Assumptions!$I$88</f>
        <v>220.5</v>
      </c>
      <c r="AM61" s="3">
        <f>Assumptions!$I$88</f>
        <v>220.5</v>
      </c>
      <c r="AN61" s="3">
        <f>Assumptions!$I$88</f>
        <v>220.5</v>
      </c>
      <c r="AO61" s="3">
        <f>Assumptions!$I$88</f>
        <v>220.5</v>
      </c>
      <c r="AP61" s="3">
        <f>Assumptions!$I$88</f>
        <v>220.5</v>
      </c>
      <c r="AQ61" s="3">
        <f>Assumptions!$I$88</f>
        <v>220.5</v>
      </c>
      <c r="AR61" s="37">
        <f t="shared" si="102"/>
        <v>2646</v>
      </c>
      <c r="AS61" s="3">
        <f>Assumptions!$J$88</f>
        <v>231.52500000000001</v>
      </c>
      <c r="AT61" s="3">
        <f>Assumptions!$J$88</f>
        <v>231.52500000000001</v>
      </c>
      <c r="AU61" s="3">
        <f>Assumptions!$J$88</f>
        <v>231.52500000000001</v>
      </c>
      <c r="AV61" s="3">
        <f>Assumptions!$J$88</f>
        <v>231.52500000000001</v>
      </c>
      <c r="AW61" s="3">
        <f>Assumptions!$J$88</f>
        <v>231.52500000000001</v>
      </c>
      <c r="AX61" s="3">
        <f>Assumptions!$J$88</f>
        <v>231.52500000000001</v>
      </c>
      <c r="AY61" s="3">
        <f>Assumptions!$J$88</f>
        <v>231.52500000000001</v>
      </c>
      <c r="AZ61" s="3">
        <f>Assumptions!$J$88</f>
        <v>231.52500000000001</v>
      </c>
      <c r="BA61" s="3">
        <f>Assumptions!$J$88</f>
        <v>231.52500000000001</v>
      </c>
      <c r="BB61" s="3">
        <f>Assumptions!$J$88</f>
        <v>231.52500000000001</v>
      </c>
      <c r="BC61" s="3">
        <f>Assumptions!$J$88</f>
        <v>231.52500000000001</v>
      </c>
      <c r="BD61" s="3">
        <f>Assumptions!$J$88</f>
        <v>231.52500000000001</v>
      </c>
      <c r="BE61" s="37">
        <f t="shared" si="103"/>
        <v>2778.3000000000006</v>
      </c>
      <c r="BF61" s="3">
        <f>Assumptions!$K$88</f>
        <v>243.10125000000002</v>
      </c>
      <c r="BG61" s="3">
        <f>Assumptions!$K$88</f>
        <v>243.10125000000002</v>
      </c>
      <c r="BH61" s="3">
        <f>Assumptions!$K$88</f>
        <v>243.10125000000002</v>
      </c>
      <c r="BI61" s="3">
        <f>Assumptions!$K$88</f>
        <v>243.10125000000002</v>
      </c>
      <c r="BJ61" s="3">
        <f>Assumptions!$K$88</f>
        <v>243.10125000000002</v>
      </c>
      <c r="BK61" s="3">
        <f>Assumptions!$K$88</f>
        <v>243.10125000000002</v>
      </c>
      <c r="BL61" s="3">
        <f>Assumptions!$K$88</f>
        <v>243.10125000000002</v>
      </c>
      <c r="BM61" s="3">
        <f>Assumptions!$K$88</f>
        <v>243.10125000000002</v>
      </c>
      <c r="BN61" s="3">
        <f>Assumptions!$K$88</f>
        <v>243.10125000000002</v>
      </c>
      <c r="BO61" s="3">
        <f>Assumptions!$K$88</f>
        <v>243.10125000000002</v>
      </c>
      <c r="BP61" s="3">
        <f>Assumptions!$K$88</f>
        <v>243.10125000000002</v>
      </c>
      <c r="BQ61" s="3">
        <f>Assumptions!$K$88</f>
        <v>243.10125000000002</v>
      </c>
      <c r="BR61" s="37">
        <f t="shared" si="104"/>
        <v>2917.2150000000006</v>
      </c>
      <c r="BS61" s="37">
        <f t="shared" si="105"/>
        <v>13261.515000000001</v>
      </c>
    </row>
    <row r="62" spans="1:72" ht="15.75" customHeight="1">
      <c r="A62" s="1"/>
      <c r="B62" s="21"/>
      <c r="C62" s="24" t="s">
        <v>65</v>
      </c>
      <c r="D62" s="2" t="s">
        <v>119</v>
      </c>
      <c r="E62" s="2"/>
      <c r="F62" s="3">
        <f>Assumptions!$B$89</f>
        <v>400</v>
      </c>
      <c r="G62" s="3">
        <f>Assumptions!$B$89</f>
        <v>400</v>
      </c>
      <c r="H62" s="3">
        <f>Assumptions!$B$89</f>
        <v>400</v>
      </c>
      <c r="I62" s="3">
        <f>Assumptions!$B$89</f>
        <v>400</v>
      </c>
      <c r="J62" s="3">
        <f>Assumptions!$B$89</f>
        <v>400</v>
      </c>
      <c r="K62" s="3">
        <f>Assumptions!$B$89</f>
        <v>400</v>
      </c>
      <c r="L62" s="3">
        <f>Assumptions!$B$89</f>
        <v>400</v>
      </c>
      <c r="M62" s="3">
        <f>Assumptions!$B$89</f>
        <v>400</v>
      </c>
      <c r="N62" s="3">
        <f>Assumptions!$B$89</f>
        <v>400</v>
      </c>
      <c r="O62" s="3">
        <f>Assumptions!$B$89</f>
        <v>400</v>
      </c>
      <c r="P62" s="3">
        <f>Assumptions!$B$89</f>
        <v>400</v>
      </c>
      <c r="Q62" s="3">
        <f>Assumptions!$B$89</f>
        <v>400</v>
      </c>
      <c r="R62" s="37">
        <f t="shared" si="100"/>
        <v>4800</v>
      </c>
      <c r="S62" s="3">
        <f>Assumptions!$H$89</f>
        <v>420</v>
      </c>
      <c r="T62" s="3">
        <f>Assumptions!$H$89</f>
        <v>420</v>
      </c>
      <c r="U62" s="3">
        <f>Assumptions!$H$89</f>
        <v>420</v>
      </c>
      <c r="V62" s="3">
        <f>Assumptions!$H$89</f>
        <v>420</v>
      </c>
      <c r="W62" s="3">
        <f>Assumptions!$H$89</f>
        <v>420</v>
      </c>
      <c r="X62" s="3">
        <f>Assumptions!$H$89</f>
        <v>420</v>
      </c>
      <c r="Y62" s="3">
        <f>Assumptions!$H$89</f>
        <v>420</v>
      </c>
      <c r="Z62" s="3">
        <f>Assumptions!$H$89</f>
        <v>420</v>
      </c>
      <c r="AA62" s="3">
        <f>Assumptions!$H$89</f>
        <v>420</v>
      </c>
      <c r="AB62" s="3">
        <f>Assumptions!$H$89</f>
        <v>420</v>
      </c>
      <c r="AC62" s="3">
        <f>Assumptions!$H$89</f>
        <v>420</v>
      </c>
      <c r="AD62" s="3">
        <f>Assumptions!$H$89</f>
        <v>420</v>
      </c>
      <c r="AE62" s="37">
        <f t="shared" si="101"/>
        <v>5040</v>
      </c>
      <c r="AF62" s="3">
        <f>Assumptions!$I$89</f>
        <v>436.8</v>
      </c>
      <c r="AG62" s="3">
        <f>Assumptions!$I$89</f>
        <v>436.8</v>
      </c>
      <c r="AH62" s="3">
        <f>Assumptions!$I$89</f>
        <v>436.8</v>
      </c>
      <c r="AI62" s="3">
        <f>Assumptions!$I$89</f>
        <v>436.8</v>
      </c>
      <c r="AJ62" s="3">
        <f>Assumptions!$I$89</f>
        <v>436.8</v>
      </c>
      <c r="AK62" s="3">
        <f>Assumptions!$I$89</f>
        <v>436.8</v>
      </c>
      <c r="AL62" s="3">
        <f>Assumptions!$I$89</f>
        <v>436.8</v>
      </c>
      <c r="AM62" s="3">
        <f>Assumptions!$I$89</f>
        <v>436.8</v>
      </c>
      <c r="AN62" s="3">
        <f>Assumptions!$I$89</f>
        <v>436.8</v>
      </c>
      <c r="AO62" s="3">
        <f>Assumptions!$I$89</f>
        <v>436.8</v>
      </c>
      <c r="AP62" s="3">
        <f>Assumptions!$I$89</f>
        <v>436.8</v>
      </c>
      <c r="AQ62" s="3">
        <f>Assumptions!$I$89</f>
        <v>436.8</v>
      </c>
      <c r="AR62" s="37">
        <f t="shared" si="102"/>
        <v>5241.6000000000013</v>
      </c>
      <c r="AS62" s="3">
        <f>Assumptions!$J$89</f>
        <v>447.71999999999997</v>
      </c>
      <c r="AT62" s="3">
        <f>Assumptions!$J$89</f>
        <v>447.71999999999997</v>
      </c>
      <c r="AU62" s="3">
        <f>Assumptions!$J$89</f>
        <v>447.71999999999997</v>
      </c>
      <c r="AV62" s="3">
        <f>Assumptions!$J$89</f>
        <v>447.71999999999997</v>
      </c>
      <c r="AW62" s="3">
        <f>Assumptions!$J$89</f>
        <v>447.71999999999997</v>
      </c>
      <c r="AX62" s="3">
        <f>Assumptions!$J$89</f>
        <v>447.71999999999997</v>
      </c>
      <c r="AY62" s="3">
        <f>Assumptions!$J$89</f>
        <v>447.71999999999997</v>
      </c>
      <c r="AZ62" s="3">
        <f>Assumptions!$J$89</f>
        <v>447.71999999999997</v>
      </c>
      <c r="BA62" s="3">
        <f>Assumptions!$J$89</f>
        <v>447.71999999999997</v>
      </c>
      <c r="BB62" s="3">
        <f>Assumptions!$J$89</f>
        <v>447.71999999999997</v>
      </c>
      <c r="BC62" s="3">
        <f>Assumptions!$J$89</f>
        <v>447.71999999999997</v>
      </c>
      <c r="BD62" s="3">
        <f>Assumptions!$J$89</f>
        <v>447.71999999999997</v>
      </c>
      <c r="BE62" s="37">
        <f t="shared" si="103"/>
        <v>5372.6399999999994</v>
      </c>
      <c r="BF62" s="3">
        <f>Assumptions!$K$89</f>
        <v>456.67439999999999</v>
      </c>
      <c r="BG62" s="3">
        <f>Assumptions!$K$89</f>
        <v>456.67439999999999</v>
      </c>
      <c r="BH62" s="3">
        <f>Assumptions!$K$89</f>
        <v>456.67439999999999</v>
      </c>
      <c r="BI62" s="3">
        <f>Assumptions!$K$89</f>
        <v>456.67439999999999</v>
      </c>
      <c r="BJ62" s="3">
        <f>Assumptions!$K$89</f>
        <v>456.67439999999999</v>
      </c>
      <c r="BK62" s="3">
        <f>Assumptions!$K$89</f>
        <v>456.67439999999999</v>
      </c>
      <c r="BL62" s="3">
        <f>Assumptions!$K$89</f>
        <v>456.67439999999999</v>
      </c>
      <c r="BM62" s="3">
        <f>Assumptions!$K$89</f>
        <v>456.67439999999999</v>
      </c>
      <c r="BN62" s="3">
        <f>Assumptions!$K$89</f>
        <v>456.67439999999999</v>
      </c>
      <c r="BO62" s="3">
        <f>Assumptions!$K$89</f>
        <v>456.67439999999999</v>
      </c>
      <c r="BP62" s="3">
        <f>Assumptions!$K$89</f>
        <v>456.67439999999999</v>
      </c>
      <c r="BQ62" s="3">
        <f>Assumptions!$K$89</f>
        <v>456.67439999999999</v>
      </c>
      <c r="BR62" s="37">
        <f t="shared" si="104"/>
        <v>5480.0927999999994</v>
      </c>
      <c r="BS62" s="37">
        <f t="shared" si="105"/>
        <v>25934.3328</v>
      </c>
    </row>
    <row r="63" spans="1:72" ht="15.75" customHeight="1">
      <c r="A63" s="1"/>
      <c r="B63" s="21"/>
      <c r="C63" s="24" t="s">
        <v>66</v>
      </c>
      <c r="D63" s="24"/>
      <c r="E63" s="2"/>
      <c r="F63" s="3">
        <f>Assumptions!$B$90</f>
        <v>100</v>
      </c>
      <c r="G63" s="3">
        <f>Assumptions!$B$90</f>
        <v>100</v>
      </c>
      <c r="H63" s="3">
        <f>Assumptions!$B$90</f>
        <v>100</v>
      </c>
      <c r="I63" s="3">
        <f>Assumptions!$B$90</f>
        <v>100</v>
      </c>
      <c r="J63" s="3">
        <f>Assumptions!$B$90</f>
        <v>100</v>
      </c>
      <c r="K63" s="3">
        <f>Assumptions!$B$90</f>
        <v>100</v>
      </c>
      <c r="L63" s="3">
        <f>Assumptions!$B$90</f>
        <v>100</v>
      </c>
      <c r="M63" s="3">
        <f>Assumptions!$B$90</f>
        <v>100</v>
      </c>
      <c r="N63" s="3">
        <f>Assumptions!$B$90</f>
        <v>100</v>
      </c>
      <c r="O63" s="3">
        <f>Assumptions!$B$90</f>
        <v>100</v>
      </c>
      <c r="P63" s="3">
        <f>Assumptions!$B$90</f>
        <v>100</v>
      </c>
      <c r="Q63" s="3">
        <f>Assumptions!$B$90</f>
        <v>100</v>
      </c>
      <c r="R63" s="37">
        <f t="shared" si="100"/>
        <v>1200</v>
      </c>
      <c r="S63" s="3">
        <f>Assumptions!$H$90</f>
        <v>108</v>
      </c>
      <c r="T63" s="3">
        <f>Assumptions!$H$90</f>
        <v>108</v>
      </c>
      <c r="U63" s="3">
        <f>Assumptions!$H$90</f>
        <v>108</v>
      </c>
      <c r="V63" s="3">
        <f>Assumptions!$H$90</f>
        <v>108</v>
      </c>
      <c r="W63" s="3">
        <f>Assumptions!$H$90</f>
        <v>108</v>
      </c>
      <c r="X63" s="3">
        <f>Assumptions!$H$90</f>
        <v>108</v>
      </c>
      <c r="Y63" s="3">
        <f>Assumptions!$H$90</f>
        <v>108</v>
      </c>
      <c r="Z63" s="3">
        <f>Assumptions!$H$90</f>
        <v>108</v>
      </c>
      <c r="AA63" s="3">
        <f>Assumptions!$H$90</f>
        <v>108</v>
      </c>
      <c r="AB63" s="3">
        <f>Assumptions!$H$90</f>
        <v>108</v>
      </c>
      <c r="AC63" s="3">
        <f>Assumptions!$H$90</f>
        <v>108</v>
      </c>
      <c r="AD63" s="3">
        <f>Assumptions!$H$90</f>
        <v>108</v>
      </c>
      <c r="AE63" s="37">
        <f t="shared" si="101"/>
        <v>1296</v>
      </c>
      <c r="AF63" s="3">
        <f>Assumptions!$I$90</f>
        <v>113.4</v>
      </c>
      <c r="AG63" s="3">
        <f>Assumptions!$I$90</f>
        <v>113.4</v>
      </c>
      <c r="AH63" s="3">
        <f>Assumptions!$I$90</f>
        <v>113.4</v>
      </c>
      <c r="AI63" s="3">
        <f>Assumptions!$I$90</f>
        <v>113.4</v>
      </c>
      <c r="AJ63" s="3">
        <f>Assumptions!$I$90</f>
        <v>113.4</v>
      </c>
      <c r="AK63" s="3">
        <f>Assumptions!$I$90</f>
        <v>113.4</v>
      </c>
      <c r="AL63" s="3">
        <f>Assumptions!$I$90</f>
        <v>113.4</v>
      </c>
      <c r="AM63" s="3">
        <f>Assumptions!$I$90</f>
        <v>113.4</v>
      </c>
      <c r="AN63" s="3">
        <f>Assumptions!$I$90</f>
        <v>113.4</v>
      </c>
      <c r="AO63" s="3">
        <f>Assumptions!$I$90</f>
        <v>113.4</v>
      </c>
      <c r="AP63" s="3">
        <f>Assumptions!$I$90</f>
        <v>113.4</v>
      </c>
      <c r="AQ63" s="3">
        <f>Assumptions!$I$90</f>
        <v>113.4</v>
      </c>
      <c r="AR63" s="37">
        <f t="shared" si="102"/>
        <v>1360.8000000000002</v>
      </c>
      <c r="AS63" s="3">
        <f>Assumptions!$J$90</f>
        <v>116.235</v>
      </c>
      <c r="AT63" s="3">
        <f>Assumptions!$J$90</f>
        <v>116.235</v>
      </c>
      <c r="AU63" s="3">
        <f>Assumptions!$J$90</f>
        <v>116.235</v>
      </c>
      <c r="AV63" s="3">
        <f>Assumptions!$J$90</f>
        <v>116.235</v>
      </c>
      <c r="AW63" s="3">
        <f>Assumptions!$J$90</f>
        <v>116.235</v>
      </c>
      <c r="AX63" s="3">
        <f>Assumptions!$J$90</f>
        <v>116.235</v>
      </c>
      <c r="AY63" s="3">
        <f>Assumptions!$J$90</f>
        <v>116.235</v>
      </c>
      <c r="AZ63" s="3">
        <f>Assumptions!$J$90</f>
        <v>116.235</v>
      </c>
      <c r="BA63" s="3">
        <f>Assumptions!$J$90</f>
        <v>116.235</v>
      </c>
      <c r="BB63" s="3">
        <f>Assumptions!$J$90</f>
        <v>116.235</v>
      </c>
      <c r="BC63" s="3">
        <f>Assumptions!$J$90</f>
        <v>116.235</v>
      </c>
      <c r="BD63" s="3">
        <f>Assumptions!$J$90</f>
        <v>116.235</v>
      </c>
      <c r="BE63" s="37">
        <f t="shared" si="103"/>
        <v>1394.8199999999997</v>
      </c>
      <c r="BF63" s="3">
        <f>Assumptions!$K$90</f>
        <v>118.55970000000001</v>
      </c>
      <c r="BG63" s="3">
        <f>Assumptions!$K$90</f>
        <v>118.55970000000001</v>
      </c>
      <c r="BH63" s="3">
        <f>Assumptions!$K$90</f>
        <v>118.55970000000001</v>
      </c>
      <c r="BI63" s="3">
        <f>Assumptions!$K$90</f>
        <v>118.55970000000001</v>
      </c>
      <c r="BJ63" s="3">
        <f>Assumptions!$K$90</f>
        <v>118.55970000000001</v>
      </c>
      <c r="BK63" s="3">
        <f>Assumptions!$K$90</f>
        <v>118.55970000000001</v>
      </c>
      <c r="BL63" s="3">
        <f>Assumptions!$K$90</f>
        <v>118.55970000000001</v>
      </c>
      <c r="BM63" s="3">
        <f>Assumptions!$K$90</f>
        <v>118.55970000000001</v>
      </c>
      <c r="BN63" s="3">
        <f>Assumptions!$K$90</f>
        <v>118.55970000000001</v>
      </c>
      <c r="BO63" s="3">
        <f>Assumptions!$K$90</f>
        <v>118.55970000000001</v>
      </c>
      <c r="BP63" s="3">
        <f>Assumptions!$K$90</f>
        <v>118.55970000000001</v>
      </c>
      <c r="BQ63" s="3">
        <f>Assumptions!$K$90</f>
        <v>118.55970000000001</v>
      </c>
      <c r="BR63" s="37">
        <f t="shared" si="104"/>
        <v>1422.7164</v>
      </c>
      <c r="BS63" s="37">
        <f t="shared" si="105"/>
        <v>6674.3364000000001</v>
      </c>
    </row>
    <row r="64" spans="1:72" ht="15.75" customHeight="1">
      <c r="A64" s="2"/>
      <c r="B64" s="27"/>
      <c r="C64" s="27"/>
      <c r="D64" s="27"/>
      <c r="E64" s="23" t="s">
        <v>67</v>
      </c>
      <c r="F64" s="18">
        <f t="shared" ref="F64:AK64" si="106">SUM(F39:F63)</f>
        <v>29072.737149704764</v>
      </c>
      <c r="G64" s="18">
        <f t="shared" si="106"/>
        <v>24202.724353158334</v>
      </c>
      <c r="H64" s="18">
        <f t="shared" si="106"/>
        <v>24777.189057890479</v>
      </c>
      <c r="I64" s="18">
        <f t="shared" si="106"/>
        <v>25186.92074947619</v>
      </c>
      <c r="J64" s="18">
        <f t="shared" si="106"/>
        <v>25481.640966076193</v>
      </c>
      <c r="K64" s="18">
        <f t="shared" si="106"/>
        <v>25186.92074947619</v>
      </c>
      <c r="L64" s="18">
        <f t="shared" si="106"/>
        <v>25012.006360619045</v>
      </c>
      <c r="M64" s="18">
        <f t="shared" si="106"/>
        <v>25599.049617440476</v>
      </c>
      <c r="N64" s="18">
        <f t="shared" si="106"/>
        <v>25530.978124404763</v>
      </c>
      <c r="O64" s="18">
        <f t="shared" si="106"/>
        <v>25481.640966076193</v>
      </c>
      <c r="P64" s="18">
        <f t="shared" si="106"/>
        <v>24728.177582904762</v>
      </c>
      <c r="Q64" s="18">
        <f t="shared" si="106"/>
        <v>24542.371755161905</v>
      </c>
      <c r="R64" s="18">
        <f t="shared" si="106"/>
        <v>304802.35743238928</v>
      </c>
      <c r="S64" s="18">
        <f t="shared" si="106"/>
        <v>27259.677722160479</v>
      </c>
      <c r="T64" s="18">
        <f t="shared" si="106"/>
        <v>27409.163006132083</v>
      </c>
      <c r="U64" s="18">
        <f t="shared" si="106"/>
        <v>28069.797416574049</v>
      </c>
      <c r="V64" s="18">
        <f t="shared" si="106"/>
        <v>28540.988861897618</v>
      </c>
      <c r="W64" s="18">
        <f t="shared" si="106"/>
        <v>28879.917110987619</v>
      </c>
      <c r="X64" s="18">
        <f t="shared" si="106"/>
        <v>28540.988861897618</v>
      </c>
      <c r="Y64" s="18">
        <f t="shared" si="106"/>
        <v>28339.837314711905</v>
      </c>
      <c r="Z64" s="18">
        <f t="shared" si="106"/>
        <v>29014.937060056545</v>
      </c>
      <c r="AA64" s="18">
        <f t="shared" si="106"/>
        <v>28936.654843065477</v>
      </c>
      <c r="AB64" s="18">
        <f t="shared" si="106"/>
        <v>28879.917110987619</v>
      </c>
      <c r="AC64" s="18">
        <f t="shared" si="106"/>
        <v>28013.434220340478</v>
      </c>
      <c r="AD64" s="18">
        <f t="shared" si="106"/>
        <v>27799.757518436192</v>
      </c>
      <c r="AE64" s="18">
        <f t="shared" si="106"/>
        <v>339685.07104724768</v>
      </c>
      <c r="AF64" s="18">
        <f t="shared" si="106"/>
        <v>28923.271694151586</v>
      </c>
      <c r="AG64" s="18">
        <f t="shared" si="106"/>
        <v>29090.943259015108</v>
      </c>
      <c r="AH64" s="18">
        <f t="shared" si="106"/>
        <v>29840.029824560715</v>
      </c>
      <c r="AI64" s="18">
        <f t="shared" si="106"/>
        <v>30372.393638010879</v>
      </c>
      <c r="AJ64" s="18">
        <f t="shared" si="106"/>
        <v>30756.787954969837</v>
      </c>
      <c r="AK64" s="18">
        <f t="shared" si="106"/>
        <v>30372.393638010879</v>
      </c>
      <c r="AL64" s="18">
        <f t="shared" ref="AL64:BQ64" si="107">SUM(AL39:AL63)</f>
        <v>30145.615868030422</v>
      </c>
      <c r="AM64" s="18">
        <f t="shared" si="107"/>
        <v>30909.580976704692</v>
      </c>
      <c r="AN64" s="18">
        <f t="shared" si="107"/>
        <v>30820.026120466904</v>
      </c>
      <c r="AO64" s="18">
        <f t="shared" si="107"/>
        <v>30756.787954969837</v>
      </c>
      <c r="AP64" s="18">
        <f t="shared" si="107"/>
        <v>29775.550328069508</v>
      </c>
      <c r="AQ64" s="18">
        <f t="shared" si="107"/>
        <v>29534.443781091006</v>
      </c>
      <c r="AR64" s="18">
        <f t="shared" si="107"/>
        <v>361297.82503805129</v>
      </c>
      <c r="AS64" s="18">
        <f t="shared" si="107"/>
        <v>30094.2269491925</v>
      </c>
      <c r="AT64" s="18">
        <f t="shared" si="107"/>
        <v>30270.282092299196</v>
      </c>
      <c r="AU64" s="18">
        <f t="shared" si="107"/>
        <v>31056.822986122083</v>
      </c>
      <c r="AV64" s="18">
        <f t="shared" si="107"/>
        <v>31615.804990244756</v>
      </c>
      <c r="AW64" s="18">
        <f t="shared" si="107"/>
        <v>32019.419023051665</v>
      </c>
      <c r="AX64" s="18">
        <f t="shared" si="107"/>
        <v>31615.804990244756</v>
      </c>
      <c r="AY64" s="18">
        <f t="shared" si="107"/>
        <v>31377.688331765279</v>
      </c>
      <c r="AZ64" s="18">
        <f t="shared" si="107"/>
        <v>32179.851695873262</v>
      </c>
      <c r="BA64" s="18">
        <f t="shared" si="107"/>
        <v>32085.819096823587</v>
      </c>
      <c r="BB64" s="18">
        <f t="shared" si="107"/>
        <v>32019.419023051665</v>
      </c>
      <c r="BC64" s="18">
        <f t="shared" si="107"/>
        <v>30989.119514806316</v>
      </c>
      <c r="BD64" s="18">
        <f t="shared" si="107"/>
        <v>30735.95764047889</v>
      </c>
      <c r="BE64" s="18">
        <f t="shared" si="107"/>
        <v>376060.2163339539</v>
      </c>
      <c r="BF64" s="18">
        <f t="shared" si="107"/>
        <v>33157.019594077537</v>
      </c>
      <c r="BG64" s="18">
        <f t="shared" si="107"/>
        <v>33345.589901350053</v>
      </c>
      <c r="BH64" s="18">
        <f t="shared" si="107"/>
        <v>34197.128739404638</v>
      </c>
      <c r="BI64" s="18">
        <f t="shared" si="107"/>
        <v>34800.173269906605</v>
      </c>
      <c r="BJ64" s="18">
        <f t="shared" si="107"/>
        <v>35237.237884731752</v>
      </c>
      <c r="BK64" s="18">
        <f t="shared" si="107"/>
        <v>34800.173269906605</v>
      </c>
      <c r="BL64" s="18">
        <f t="shared" si="107"/>
        <v>34543.831787847012</v>
      </c>
      <c r="BM64" s="18">
        <f t="shared" si="107"/>
        <v>35410.589408952939</v>
      </c>
      <c r="BN64" s="18">
        <f t="shared" si="107"/>
        <v>35307.905810790689</v>
      </c>
      <c r="BO64" s="18">
        <f t="shared" si="107"/>
        <v>35237.237884731752</v>
      </c>
      <c r="BP64" s="18">
        <f t="shared" si="107"/>
        <v>34123.196548727821</v>
      </c>
      <c r="BQ64" s="18">
        <f t="shared" si="107"/>
        <v>33850.425690962271</v>
      </c>
      <c r="BR64" s="18">
        <f t="shared" ref="BR64:BS64" si="108">SUM(BR39:BR63)</f>
        <v>414010.50979138969</v>
      </c>
      <c r="BS64" s="41">
        <f t="shared" si="108"/>
        <v>1747243.712643032</v>
      </c>
    </row>
    <row r="65" spans="1:72" ht="15.75" customHeight="1">
      <c r="A65" s="2"/>
      <c r="B65" s="24"/>
      <c r="C65" s="24"/>
      <c r="D65" s="24"/>
      <c r="E65" s="2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7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7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7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7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7"/>
      <c r="BS65" s="37"/>
    </row>
    <row r="66" spans="1:72" ht="15.75" customHeight="1">
      <c r="A66" s="1"/>
      <c r="B66" s="23" t="s">
        <v>289</v>
      </c>
      <c r="C66" s="27"/>
      <c r="D66" s="27"/>
      <c r="E66" s="29"/>
      <c r="F66" s="37">
        <f t="shared" ref="F66:AK66" si="109">F36-F64</f>
        <v>-16387.173973130364</v>
      </c>
      <c r="G66" s="37">
        <f t="shared" si="109"/>
        <v>-9441.6188791390487</v>
      </c>
      <c r="H66" s="37">
        <f t="shared" si="109"/>
        <v>2714.1557069711344</v>
      </c>
      <c r="I66" s="37">
        <f t="shared" si="109"/>
        <v>10540.82037025259</v>
      </c>
      <c r="J66" s="37">
        <f t="shared" si="109"/>
        <v>16815.485387072607</v>
      </c>
      <c r="K66" s="37">
        <f t="shared" si="109"/>
        <v>10540.82037025259</v>
      </c>
      <c r="L66" s="37">
        <f t="shared" si="109"/>
        <v>7414.5989336716229</v>
      </c>
      <c r="M66" s="37">
        <f t="shared" si="109"/>
        <v>19165.707000422866</v>
      </c>
      <c r="N66" s="37">
        <f t="shared" si="109"/>
        <v>17376.818602559753</v>
      </c>
      <c r="O66" s="37">
        <f t="shared" si="109"/>
        <v>16815.485387072607</v>
      </c>
      <c r="P66" s="37">
        <f t="shared" si="109"/>
        <v>1426.1560605096965</v>
      </c>
      <c r="Q66" s="37">
        <f t="shared" si="109"/>
        <v>-1986.2875197293506</v>
      </c>
      <c r="R66" s="37">
        <f t="shared" si="109"/>
        <v>74994.967446786643</v>
      </c>
      <c r="S66" s="37">
        <f t="shared" si="109"/>
        <v>-12093.694169750648</v>
      </c>
      <c r="T66" s="37">
        <f t="shared" si="109"/>
        <v>-10110.555492750143</v>
      </c>
      <c r="U66" s="37">
        <f t="shared" si="109"/>
        <v>3975.67791204069</v>
      </c>
      <c r="V66" s="37">
        <f t="shared" si="109"/>
        <v>12760.981956894007</v>
      </c>
      <c r="W66" s="37">
        <f t="shared" si="109"/>
        <v>20045.049993832043</v>
      </c>
      <c r="X66" s="37">
        <f t="shared" si="109"/>
        <v>12760.981956894007</v>
      </c>
      <c r="Y66" s="37">
        <f t="shared" si="109"/>
        <v>9332.1352726378027</v>
      </c>
      <c r="Z66" s="37">
        <f t="shared" si="109"/>
        <v>22723.278674130583</v>
      </c>
      <c r="AA66" s="37">
        <f t="shared" si="109"/>
        <v>20532.811996470464</v>
      </c>
      <c r="AB66" s="37">
        <f t="shared" si="109"/>
        <v>20045.049993832043</v>
      </c>
      <c r="AC66" s="37">
        <f t="shared" si="109"/>
        <v>2398.541904125399</v>
      </c>
      <c r="AD66" s="37">
        <f t="shared" si="109"/>
        <v>-1380.7794485564264</v>
      </c>
      <c r="AE66" s="37">
        <f t="shared" si="109"/>
        <v>100989.4805497998</v>
      </c>
      <c r="AF66" s="37">
        <f t="shared" si="109"/>
        <v>-12863.483642473915</v>
      </c>
      <c r="AG66" s="37">
        <f t="shared" si="109"/>
        <v>-10588.684725578223</v>
      </c>
      <c r="AH66" s="37">
        <f t="shared" si="109"/>
        <v>5551.6522529558242</v>
      </c>
      <c r="AI66" s="37">
        <f t="shared" si="109"/>
        <v>15620.649679481779</v>
      </c>
      <c r="AJ66" s="37">
        <f t="shared" si="109"/>
        <v>23966.788148385505</v>
      </c>
      <c r="AK66" s="37">
        <f t="shared" si="109"/>
        <v>15620.649679481779</v>
      </c>
      <c r="AL66" s="37">
        <f t="shared" ref="AL66:BS66" si="110">AL36-AL64</f>
        <v>11690.030884765707</v>
      </c>
      <c r="AM66" s="37">
        <f t="shared" si="110"/>
        <v>27035.977464290463</v>
      </c>
      <c r="AN66" s="37">
        <f t="shared" si="110"/>
        <v>24527.159467592897</v>
      </c>
      <c r="AO66" s="37">
        <f t="shared" si="110"/>
        <v>23966.788148385505</v>
      </c>
      <c r="AP66" s="37">
        <f t="shared" si="110"/>
        <v>3745.3032953335533</v>
      </c>
      <c r="AQ66" s="37">
        <f t="shared" si="110"/>
        <v>-586.72637885409495</v>
      </c>
      <c r="AR66" s="37">
        <f t="shared" si="110"/>
        <v>127686.10427376698</v>
      </c>
      <c r="AS66" s="37">
        <f t="shared" si="110"/>
        <v>-13468.849634259954</v>
      </c>
      <c r="AT66" s="37">
        <f t="shared" si="110"/>
        <v>-11083.254597525483</v>
      </c>
      <c r="AU66" s="37">
        <f t="shared" si="110"/>
        <v>5843.7429862767312</v>
      </c>
      <c r="AV66" s="37">
        <f t="shared" si="110"/>
        <v>16403.412826571057</v>
      </c>
      <c r="AW66" s="37">
        <f t="shared" si="110"/>
        <v>25156.335606813427</v>
      </c>
      <c r="AX66" s="37">
        <f t="shared" si="110"/>
        <v>16403.412826571057</v>
      </c>
      <c r="AY66" s="37">
        <f t="shared" si="110"/>
        <v>12281.273859788973</v>
      </c>
      <c r="AZ66" s="37">
        <f t="shared" si="110"/>
        <v>28375.101043569561</v>
      </c>
      <c r="BA66" s="37">
        <f t="shared" si="110"/>
        <v>25743.973876830743</v>
      </c>
      <c r="BB66" s="37">
        <f t="shared" si="110"/>
        <v>25156.335606813427</v>
      </c>
      <c r="BC66" s="37">
        <f t="shared" si="110"/>
        <v>3949.3314262248059</v>
      </c>
      <c r="BD66" s="37">
        <f t="shared" si="110"/>
        <v>-593.78788723550679</v>
      </c>
      <c r="BE66" s="37">
        <f t="shared" si="110"/>
        <v>134167.02794043883</v>
      </c>
      <c r="BF66" s="37">
        <f t="shared" si="110"/>
        <v>-13800.098816949816</v>
      </c>
      <c r="BG66" s="37">
        <f t="shared" si="110"/>
        <v>-11188.194290183346</v>
      </c>
      <c r="BH66" s="37">
        <f t="shared" si="110"/>
        <v>7325.252426286941</v>
      </c>
      <c r="BI66" s="37">
        <f t="shared" si="110"/>
        <v>18877.460366932923</v>
      </c>
      <c r="BJ66" s="37">
        <f t="shared" si="110"/>
        <v>28450.603669523691</v>
      </c>
      <c r="BK66" s="37">
        <f t="shared" si="110"/>
        <v>18877.460366932923</v>
      </c>
      <c r="BL66" s="37">
        <f t="shared" si="110"/>
        <v>14367.036174032502</v>
      </c>
      <c r="BM66" s="37">
        <f t="shared" si="110"/>
        <v>31971.495543396457</v>
      </c>
      <c r="BN66" s="37">
        <f t="shared" si="110"/>
        <v>29094.950594708731</v>
      </c>
      <c r="BO66" s="37">
        <f t="shared" si="110"/>
        <v>28450.603669523691</v>
      </c>
      <c r="BP66" s="37">
        <f t="shared" si="110"/>
        <v>5254.1400632317818</v>
      </c>
      <c r="BQ66" s="37">
        <f t="shared" si="110"/>
        <v>283.46867854136508</v>
      </c>
      <c r="BR66" s="37">
        <f t="shared" si="110"/>
        <v>157964.17844597797</v>
      </c>
      <c r="BS66" s="37">
        <f t="shared" si="110"/>
        <v>966597.47452310799</v>
      </c>
    </row>
    <row r="67" spans="1:72" ht="15.75" customHeight="1">
      <c r="A67" s="2"/>
      <c r="B67" s="28"/>
      <c r="C67" s="24"/>
      <c r="D67" s="24"/>
      <c r="E67" s="21"/>
      <c r="F67" s="42">
        <f t="shared" ref="F67:AK67" si="111">IF(F16&lt;&gt;0,F66/F16,"N/A")</f>
        <v>-0.47253425619703049</v>
      </c>
      <c r="G67" s="42">
        <f t="shared" si="111"/>
        <v>-0.2546625482302674</v>
      </c>
      <c r="H67" s="42">
        <f t="shared" si="111"/>
        <v>5.2176234507119806E-2</v>
      </c>
      <c r="I67" s="42">
        <f t="shared" si="111"/>
        <v>0.1709924394050332</v>
      </c>
      <c r="J67" s="42">
        <f t="shared" si="111"/>
        <v>0.24244243983132996</v>
      </c>
      <c r="K67" s="42">
        <f t="shared" si="111"/>
        <v>0.1709924394050332</v>
      </c>
      <c r="L67" s="42">
        <f t="shared" si="111"/>
        <v>0.12828271663680382</v>
      </c>
      <c r="M67" s="42">
        <f t="shared" si="111"/>
        <v>0.26527438447023538</v>
      </c>
      <c r="N67" s="42">
        <f t="shared" si="111"/>
        <v>0.24805925515015118</v>
      </c>
      <c r="O67" s="42">
        <f t="shared" si="111"/>
        <v>0.24244243983132996</v>
      </c>
      <c r="P67" s="42">
        <f t="shared" si="111"/>
        <v>2.8276113951110873E-2</v>
      </c>
      <c r="Q67" s="42">
        <f t="shared" si="111"/>
        <v>-4.295686815498511E-2</v>
      </c>
      <c r="R67" s="42">
        <f t="shared" si="111"/>
        <v>0.1098738693279438</v>
      </c>
      <c r="S67" s="42">
        <f t="shared" si="111"/>
        <v>-0.3051982361781781</v>
      </c>
      <c r="T67" s="42">
        <f t="shared" si="111"/>
        <v>-0.23999075214392651</v>
      </c>
      <c r="U67" s="42">
        <f t="shared" si="111"/>
        <v>6.6887193129253647E-2</v>
      </c>
      <c r="V67" s="42">
        <f t="shared" si="111"/>
        <v>0.18151233203152717</v>
      </c>
      <c r="W67" s="42">
        <f t="shared" si="111"/>
        <v>0.2529299077829697</v>
      </c>
      <c r="X67" s="42">
        <f t="shared" si="111"/>
        <v>0.18151233203152717</v>
      </c>
      <c r="Y67" s="42">
        <f t="shared" si="111"/>
        <v>0.14130427899074</v>
      </c>
      <c r="Z67" s="42">
        <f t="shared" si="111"/>
        <v>0.27525503354141539</v>
      </c>
      <c r="AA67" s="42">
        <f t="shared" si="111"/>
        <v>0.25701184823281698</v>
      </c>
      <c r="AB67" s="42">
        <f t="shared" si="111"/>
        <v>0.2529299077829697</v>
      </c>
      <c r="AC67" s="42">
        <f t="shared" si="111"/>
        <v>4.1698413140249725E-2</v>
      </c>
      <c r="AD67" s="42">
        <f t="shared" si="111"/>
        <v>-2.6134164197604368E-2</v>
      </c>
      <c r="AE67" s="42">
        <f t="shared" si="111"/>
        <v>0.12961565880029866</v>
      </c>
      <c r="AF67" s="42">
        <f t="shared" si="111"/>
        <v>-0.2837628985866506</v>
      </c>
      <c r="AG67" s="42">
        <f t="shared" si="111"/>
        <v>-0.21970274480642124</v>
      </c>
      <c r="AH67" s="42">
        <f t="shared" si="111"/>
        <v>8.164470211590262E-2</v>
      </c>
      <c r="AI67" s="42">
        <f t="shared" si="111"/>
        <v>0.19422051893093445</v>
      </c>
      <c r="AJ67" s="42">
        <f t="shared" si="111"/>
        <v>0.26434850246717867</v>
      </c>
      <c r="AK67" s="42">
        <f t="shared" si="111"/>
        <v>0.19422051893093445</v>
      </c>
      <c r="AL67" s="42">
        <f t="shared" ref="AL67:BQ67" si="112">IF(AL16&lt;&gt;0,AL66/AL16,"N/A")</f>
        <v>0.15472622225641289</v>
      </c>
      <c r="AM67" s="42">
        <f t="shared" si="112"/>
        <v>0.28627295850933188</v>
      </c>
      <c r="AN67" s="42">
        <f t="shared" si="112"/>
        <v>0.26836504300076125</v>
      </c>
      <c r="AO67" s="42">
        <f t="shared" si="112"/>
        <v>0.26434850246717867</v>
      </c>
      <c r="AP67" s="42">
        <f t="shared" si="112"/>
        <v>5.6915844727550659E-2</v>
      </c>
      <c r="AQ67" s="42">
        <f t="shared" si="112"/>
        <v>-9.7071980597357565E-3</v>
      </c>
      <c r="AR67" s="42">
        <f t="shared" si="112"/>
        <v>0.14325142325586496</v>
      </c>
      <c r="AS67" s="42">
        <f t="shared" si="112"/>
        <v>-0.28296858204884717</v>
      </c>
      <c r="AT67" s="42">
        <f t="shared" si="112"/>
        <v>-0.21901379764135914</v>
      </c>
      <c r="AU67" s="42">
        <f t="shared" si="112"/>
        <v>8.1847903945632905E-2</v>
      </c>
      <c r="AV67" s="42">
        <f t="shared" si="112"/>
        <v>0.19424101257816992</v>
      </c>
      <c r="AW67" s="42">
        <f t="shared" si="112"/>
        <v>0.26425614694287308</v>
      </c>
      <c r="AX67" s="42">
        <f t="shared" si="112"/>
        <v>0.19424101257816992</v>
      </c>
      <c r="AY67" s="42">
        <f t="shared" si="112"/>
        <v>0.15481120114452906</v>
      </c>
      <c r="AZ67" s="42">
        <f t="shared" si="112"/>
        <v>0.286145136102542</v>
      </c>
      <c r="BA67" s="42">
        <f t="shared" si="112"/>
        <v>0.26826559409995898</v>
      </c>
      <c r="BB67" s="42">
        <f t="shared" si="112"/>
        <v>0.26425614694287308</v>
      </c>
      <c r="BC67" s="42">
        <f t="shared" si="112"/>
        <v>5.7158454204486522E-2</v>
      </c>
      <c r="BD67" s="42">
        <f t="shared" si="112"/>
        <v>-9.3562175529872654E-3</v>
      </c>
      <c r="BE67" s="42">
        <f t="shared" si="112"/>
        <v>0.14335465804835631</v>
      </c>
      <c r="BF67" s="42">
        <f t="shared" si="112"/>
        <v>-0.26550167904072686</v>
      </c>
      <c r="BG67" s="42">
        <f t="shared" si="112"/>
        <v>-0.20246106979628317</v>
      </c>
      <c r="BH67" s="42">
        <f t="shared" si="112"/>
        <v>9.3954245998469729E-2</v>
      </c>
      <c r="BI67" s="42">
        <f t="shared" si="112"/>
        <v>0.2047046213057489</v>
      </c>
      <c r="BJ67" s="42">
        <f t="shared" si="112"/>
        <v>0.27368220851806796</v>
      </c>
      <c r="BK67" s="42">
        <f t="shared" si="112"/>
        <v>0.2047046213057489</v>
      </c>
      <c r="BL67" s="42">
        <f t="shared" si="112"/>
        <v>0.1658454310063088</v>
      </c>
      <c r="BM67" s="42">
        <f t="shared" si="112"/>
        <v>0.29524956402041952</v>
      </c>
      <c r="BN67" s="42">
        <f t="shared" si="112"/>
        <v>0.27764149627733831</v>
      </c>
      <c r="BO67" s="42">
        <f t="shared" si="112"/>
        <v>0.27368220851806796</v>
      </c>
      <c r="BP67" s="42">
        <f t="shared" si="112"/>
        <v>6.9636334321323531E-2</v>
      </c>
      <c r="BQ67" s="42">
        <f t="shared" si="112"/>
        <v>4.0902647386707206E-3</v>
      </c>
      <c r="BR67" s="42">
        <f t="shared" ref="BR67:BS67" si="113">IF(BR16&lt;&gt;0,BR66/BR16,"N/A")</f>
        <v>0.15456173509463067</v>
      </c>
      <c r="BS67" s="43">
        <f t="shared" si="113"/>
        <v>0.35065768183105323</v>
      </c>
    </row>
    <row r="68" spans="1:72" ht="15.75" customHeight="1">
      <c r="A68" s="2"/>
      <c r="B68" s="23" t="s">
        <v>555</v>
      </c>
      <c r="C68" s="24"/>
      <c r="D68" s="24"/>
      <c r="E68" s="21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3"/>
    </row>
    <row r="69" spans="1:72" ht="15.75" customHeight="1">
      <c r="A69" s="1"/>
      <c r="B69" s="21"/>
      <c r="C69" s="24" t="s">
        <v>48</v>
      </c>
      <c r="D69" s="24"/>
      <c r="E69" s="2"/>
      <c r="F69" s="3">
        <f>Depreciation!H105</f>
        <v>1205</v>
      </c>
      <c r="G69" s="3">
        <f>Depreciation!I105</f>
        <v>1205</v>
      </c>
      <c r="H69" s="3">
        <f>Depreciation!J105</f>
        <v>1205</v>
      </c>
      <c r="I69" s="3">
        <f>Depreciation!K105</f>
        <v>1205</v>
      </c>
      <c r="J69" s="3">
        <f>Depreciation!L105</f>
        <v>1205</v>
      </c>
      <c r="K69" s="3">
        <f>Depreciation!M105</f>
        <v>1205</v>
      </c>
      <c r="L69" s="3">
        <f>Depreciation!N105</f>
        <v>1205</v>
      </c>
      <c r="M69" s="3">
        <f>Depreciation!O105</f>
        <v>1205</v>
      </c>
      <c r="N69" s="3">
        <f>Depreciation!P105</f>
        <v>1205</v>
      </c>
      <c r="O69" s="3">
        <f>Depreciation!Q105</f>
        <v>1205</v>
      </c>
      <c r="P69" s="3">
        <f>Depreciation!R105</f>
        <v>1205</v>
      </c>
      <c r="Q69" s="3">
        <f>Depreciation!S105</f>
        <v>1205</v>
      </c>
      <c r="R69" s="37">
        <f>SUM(F69:Q69)</f>
        <v>14460</v>
      </c>
      <c r="S69" s="3">
        <f>Depreciation!U105</f>
        <v>1205</v>
      </c>
      <c r="T69" s="3">
        <f>Depreciation!V105</f>
        <v>1205</v>
      </c>
      <c r="U69" s="3">
        <f>Depreciation!W105</f>
        <v>1205</v>
      </c>
      <c r="V69" s="3">
        <f>Depreciation!X105</f>
        <v>1205</v>
      </c>
      <c r="W69" s="3">
        <f>Depreciation!Y105</f>
        <v>1205</v>
      </c>
      <c r="X69" s="3">
        <f>Depreciation!Z105</f>
        <v>1205</v>
      </c>
      <c r="Y69" s="3">
        <f>Depreciation!AA105</f>
        <v>1205</v>
      </c>
      <c r="Z69" s="3">
        <f>Depreciation!AB105</f>
        <v>1205</v>
      </c>
      <c r="AA69" s="3">
        <f>Depreciation!AC105</f>
        <v>1205</v>
      </c>
      <c r="AB69" s="3">
        <f>Depreciation!AD105</f>
        <v>1205</v>
      </c>
      <c r="AC69" s="3">
        <f>Depreciation!AE105</f>
        <v>1205</v>
      </c>
      <c r="AD69" s="3">
        <f>Depreciation!AF105</f>
        <v>1205</v>
      </c>
      <c r="AE69" s="37">
        <f>SUM(S69:AD69)</f>
        <v>14460</v>
      </c>
      <c r="AF69" s="3">
        <f>Depreciation!AH105</f>
        <v>1205</v>
      </c>
      <c r="AG69" s="3">
        <f>Depreciation!AI105</f>
        <v>1205</v>
      </c>
      <c r="AH69" s="3">
        <f>Depreciation!AJ105</f>
        <v>1205</v>
      </c>
      <c r="AI69" s="3">
        <f>Depreciation!AK105</f>
        <v>1205</v>
      </c>
      <c r="AJ69" s="3">
        <f>Depreciation!AL105</f>
        <v>1205</v>
      </c>
      <c r="AK69" s="3">
        <f>Depreciation!AM105</f>
        <v>1205</v>
      </c>
      <c r="AL69" s="3">
        <f>Depreciation!AN105</f>
        <v>1205</v>
      </c>
      <c r="AM69" s="3">
        <f>Depreciation!AO105</f>
        <v>1205</v>
      </c>
      <c r="AN69" s="3">
        <f>Depreciation!AP105</f>
        <v>1205</v>
      </c>
      <c r="AO69" s="3">
        <f>Depreciation!AQ105</f>
        <v>1205</v>
      </c>
      <c r="AP69" s="3">
        <f>Depreciation!AR105</f>
        <v>1205</v>
      </c>
      <c r="AQ69" s="3">
        <f>Depreciation!AS105</f>
        <v>1205</v>
      </c>
      <c r="AR69" s="37">
        <f>SUM(AF69:AQ69)</f>
        <v>14460</v>
      </c>
      <c r="AS69" s="3">
        <f>Depreciation!AU105</f>
        <v>1205</v>
      </c>
      <c r="AT69" s="3">
        <f>Depreciation!AV105</f>
        <v>1205</v>
      </c>
      <c r="AU69" s="3">
        <f>Depreciation!AW105</f>
        <v>1205</v>
      </c>
      <c r="AV69" s="3">
        <f>Depreciation!AX105</f>
        <v>1205</v>
      </c>
      <c r="AW69" s="3">
        <f>Depreciation!AY105</f>
        <v>1205</v>
      </c>
      <c r="AX69" s="3">
        <f>Depreciation!AZ105</f>
        <v>1205</v>
      </c>
      <c r="AY69" s="3">
        <f>Depreciation!BA105</f>
        <v>1205</v>
      </c>
      <c r="AZ69" s="3">
        <f>Depreciation!BB105</f>
        <v>1205</v>
      </c>
      <c r="BA69" s="3">
        <f>Depreciation!BC105</f>
        <v>1205</v>
      </c>
      <c r="BB69" s="3">
        <f>Depreciation!BD105</f>
        <v>1205</v>
      </c>
      <c r="BC69" s="3">
        <f>Depreciation!BE105</f>
        <v>1205</v>
      </c>
      <c r="BD69" s="3">
        <f>Depreciation!BF105</f>
        <v>1205</v>
      </c>
      <c r="BE69" s="37">
        <f>SUM(AS69:BD69)</f>
        <v>14460</v>
      </c>
      <c r="BF69" s="3">
        <f>Depreciation!BH105</f>
        <v>1205</v>
      </c>
      <c r="BG69" s="3">
        <f>Depreciation!BI105</f>
        <v>1205</v>
      </c>
      <c r="BH69" s="3">
        <f>Depreciation!BJ105</f>
        <v>1205</v>
      </c>
      <c r="BI69" s="3">
        <f>Depreciation!BK105</f>
        <v>1205</v>
      </c>
      <c r="BJ69" s="3">
        <f>Depreciation!BL105</f>
        <v>1205</v>
      </c>
      <c r="BK69" s="3">
        <f>Depreciation!BM105</f>
        <v>1205</v>
      </c>
      <c r="BL69" s="3">
        <f>Depreciation!BN105</f>
        <v>1205</v>
      </c>
      <c r="BM69" s="3">
        <f>Depreciation!BO105</f>
        <v>1205</v>
      </c>
      <c r="BN69" s="3">
        <f>Depreciation!BP105</f>
        <v>1205</v>
      </c>
      <c r="BO69" s="3">
        <f>Depreciation!BQ105</f>
        <v>1205</v>
      </c>
      <c r="BP69" s="3">
        <f>Depreciation!BR105</f>
        <v>1205</v>
      </c>
      <c r="BQ69" s="3">
        <f>Depreciation!BS105</f>
        <v>1205</v>
      </c>
      <c r="BR69" s="37">
        <f>SUM(BF69:BQ69)</f>
        <v>14460</v>
      </c>
      <c r="BS69" s="37">
        <f>R69+AE69+AR69+BE69+BR69</f>
        <v>72300</v>
      </c>
    </row>
    <row r="70" spans="1:72" ht="15.75" customHeight="1">
      <c r="A70" s="2"/>
      <c r="B70" s="27"/>
      <c r="C70" s="27"/>
      <c r="D70" s="27" t="s">
        <v>561</v>
      </c>
      <c r="E70" s="23"/>
      <c r="F70" s="18">
        <f>SUM(F69)</f>
        <v>1205</v>
      </c>
      <c r="G70" s="18">
        <f t="shared" ref="G70:Q70" si="114">SUM(G69)</f>
        <v>1205</v>
      </c>
      <c r="H70" s="18">
        <f t="shared" si="114"/>
        <v>1205</v>
      </c>
      <c r="I70" s="18">
        <f t="shared" si="114"/>
        <v>1205</v>
      </c>
      <c r="J70" s="18">
        <f t="shared" si="114"/>
        <v>1205</v>
      </c>
      <c r="K70" s="18">
        <f t="shared" si="114"/>
        <v>1205</v>
      </c>
      <c r="L70" s="18">
        <f t="shared" si="114"/>
        <v>1205</v>
      </c>
      <c r="M70" s="18">
        <f t="shared" si="114"/>
        <v>1205</v>
      </c>
      <c r="N70" s="18">
        <f t="shared" si="114"/>
        <v>1205</v>
      </c>
      <c r="O70" s="18">
        <f t="shared" si="114"/>
        <v>1205</v>
      </c>
      <c r="P70" s="18">
        <f t="shared" si="114"/>
        <v>1205</v>
      </c>
      <c r="Q70" s="18">
        <f t="shared" si="114"/>
        <v>1205</v>
      </c>
      <c r="R70" s="18">
        <f>SUM(F70:Q70)</f>
        <v>14460</v>
      </c>
      <c r="S70" s="18">
        <f t="shared" ref="S70:AD70" si="115">SUM(S69)</f>
        <v>1205</v>
      </c>
      <c r="T70" s="18">
        <f t="shared" si="115"/>
        <v>1205</v>
      </c>
      <c r="U70" s="18">
        <f t="shared" si="115"/>
        <v>1205</v>
      </c>
      <c r="V70" s="18">
        <f t="shared" si="115"/>
        <v>1205</v>
      </c>
      <c r="W70" s="18">
        <f t="shared" si="115"/>
        <v>1205</v>
      </c>
      <c r="X70" s="18">
        <f t="shared" si="115"/>
        <v>1205</v>
      </c>
      <c r="Y70" s="18">
        <f t="shared" si="115"/>
        <v>1205</v>
      </c>
      <c r="Z70" s="18">
        <f t="shared" si="115"/>
        <v>1205</v>
      </c>
      <c r="AA70" s="18">
        <f t="shared" si="115"/>
        <v>1205</v>
      </c>
      <c r="AB70" s="18">
        <f t="shared" si="115"/>
        <v>1205</v>
      </c>
      <c r="AC70" s="18">
        <f t="shared" si="115"/>
        <v>1205</v>
      </c>
      <c r="AD70" s="18">
        <f t="shared" si="115"/>
        <v>1205</v>
      </c>
      <c r="AE70" s="18">
        <f>SUM(S70:AD70)</f>
        <v>14460</v>
      </c>
      <c r="AF70" s="18">
        <f t="shared" ref="AF70:AQ70" si="116">SUM(AF69)</f>
        <v>1205</v>
      </c>
      <c r="AG70" s="18">
        <f t="shared" si="116"/>
        <v>1205</v>
      </c>
      <c r="AH70" s="18">
        <f t="shared" si="116"/>
        <v>1205</v>
      </c>
      <c r="AI70" s="18">
        <f t="shared" si="116"/>
        <v>1205</v>
      </c>
      <c r="AJ70" s="18">
        <f t="shared" si="116"/>
        <v>1205</v>
      </c>
      <c r="AK70" s="18">
        <f t="shared" si="116"/>
        <v>1205</v>
      </c>
      <c r="AL70" s="18">
        <f t="shared" si="116"/>
        <v>1205</v>
      </c>
      <c r="AM70" s="18">
        <f t="shared" si="116"/>
        <v>1205</v>
      </c>
      <c r="AN70" s="18">
        <f t="shared" si="116"/>
        <v>1205</v>
      </c>
      <c r="AO70" s="18">
        <f t="shared" si="116"/>
        <v>1205</v>
      </c>
      <c r="AP70" s="18">
        <f t="shared" si="116"/>
        <v>1205</v>
      </c>
      <c r="AQ70" s="18">
        <f t="shared" si="116"/>
        <v>1205</v>
      </c>
      <c r="AR70" s="18">
        <f>SUM(AF70:AQ70)</f>
        <v>14460</v>
      </c>
      <c r="AS70" s="18">
        <f t="shared" ref="AS70:BD70" si="117">SUM(AS69)</f>
        <v>1205</v>
      </c>
      <c r="AT70" s="18">
        <f t="shared" si="117"/>
        <v>1205</v>
      </c>
      <c r="AU70" s="18">
        <f t="shared" si="117"/>
        <v>1205</v>
      </c>
      <c r="AV70" s="18">
        <f t="shared" si="117"/>
        <v>1205</v>
      </c>
      <c r="AW70" s="18">
        <f t="shared" si="117"/>
        <v>1205</v>
      </c>
      <c r="AX70" s="18">
        <f t="shared" si="117"/>
        <v>1205</v>
      </c>
      <c r="AY70" s="18">
        <f t="shared" si="117"/>
        <v>1205</v>
      </c>
      <c r="AZ70" s="18">
        <f t="shared" si="117"/>
        <v>1205</v>
      </c>
      <c r="BA70" s="18">
        <f t="shared" si="117"/>
        <v>1205</v>
      </c>
      <c r="BB70" s="18">
        <f t="shared" si="117"/>
        <v>1205</v>
      </c>
      <c r="BC70" s="18">
        <f t="shared" si="117"/>
        <v>1205</v>
      </c>
      <c r="BD70" s="18">
        <f t="shared" si="117"/>
        <v>1205</v>
      </c>
      <c r="BE70" s="18">
        <f>SUM(AS70:BD70)</f>
        <v>14460</v>
      </c>
      <c r="BF70" s="18">
        <f t="shared" ref="BF70:BQ70" si="118">SUM(BF69)</f>
        <v>1205</v>
      </c>
      <c r="BG70" s="18">
        <f t="shared" si="118"/>
        <v>1205</v>
      </c>
      <c r="BH70" s="18">
        <f t="shared" si="118"/>
        <v>1205</v>
      </c>
      <c r="BI70" s="18">
        <f t="shared" si="118"/>
        <v>1205</v>
      </c>
      <c r="BJ70" s="18">
        <f t="shared" si="118"/>
        <v>1205</v>
      </c>
      <c r="BK70" s="18">
        <f t="shared" si="118"/>
        <v>1205</v>
      </c>
      <c r="BL70" s="18">
        <f t="shared" si="118"/>
        <v>1205</v>
      </c>
      <c r="BM70" s="18">
        <f t="shared" si="118"/>
        <v>1205</v>
      </c>
      <c r="BN70" s="18">
        <f t="shared" si="118"/>
        <v>1205</v>
      </c>
      <c r="BO70" s="18">
        <f t="shared" si="118"/>
        <v>1205</v>
      </c>
      <c r="BP70" s="18">
        <f t="shared" si="118"/>
        <v>1205</v>
      </c>
      <c r="BQ70" s="18">
        <f t="shared" si="118"/>
        <v>1205</v>
      </c>
      <c r="BR70" s="18">
        <f>SUM(BF70:BQ70)</f>
        <v>14460</v>
      </c>
      <c r="BS70" s="41"/>
    </row>
    <row r="71" spans="1:72" ht="15.75" customHeight="1">
      <c r="A71" s="2"/>
      <c r="C71" s="24"/>
      <c r="D71" s="24"/>
      <c r="E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7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7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7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7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7"/>
      <c r="BS71" s="37"/>
      <c r="BT71" s="2"/>
    </row>
    <row r="72" spans="1:72" ht="15.75" customHeight="1">
      <c r="A72" s="2"/>
      <c r="B72" s="321" t="s">
        <v>556</v>
      </c>
      <c r="C72" s="24"/>
      <c r="D72" s="24"/>
      <c r="E72" s="2"/>
      <c r="F72" s="322">
        <f>F66-F70</f>
        <v>-17592.173973130364</v>
      </c>
      <c r="G72" s="322">
        <f t="shared" ref="G72:R72" si="119">G66-G70</f>
        <v>-10646.618879139049</v>
      </c>
      <c r="H72" s="322">
        <f t="shared" si="119"/>
        <v>1509.1557069711344</v>
      </c>
      <c r="I72" s="322">
        <f t="shared" si="119"/>
        <v>9335.8203702525898</v>
      </c>
      <c r="J72" s="322">
        <f t="shared" si="119"/>
        <v>15610.485387072607</v>
      </c>
      <c r="K72" s="322">
        <f t="shared" si="119"/>
        <v>9335.8203702525898</v>
      </c>
      <c r="L72" s="322">
        <f t="shared" si="119"/>
        <v>6209.5989336716229</v>
      </c>
      <c r="M72" s="322">
        <f t="shared" si="119"/>
        <v>17960.707000422866</v>
      </c>
      <c r="N72" s="322">
        <f t="shared" si="119"/>
        <v>16171.818602559753</v>
      </c>
      <c r="O72" s="322">
        <f t="shared" si="119"/>
        <v>15610.485387072607</v>
      </c>
      <c r="P72" s="322">
        <f t="shared" si="119"/>
        <v>221.15606050969654</v>
      </c>
      <c r="Q72" s="322">
        <f t="shared" si="119"/>
        <v>-3191.2875197293506</v>
      </c>
      <c r="R72" s="322">
        <f t="shared" si="119"/>
        <v>60534.967446786643</v>
      </c>
      <c r="S72" s="322">
        <f>S66-S70</f>
        <v>-13298.694169750648</v>
      </c>
      <c r="T72" s="322">
        <f t="shared" ref="T72:AE72" si="120">T66-T70</f>
        <v>-11315.555492750143</v>
      </c>
      <c r="U72" s="322">
        <f t="shared" si="120"/>
        <v>2770.67791204069</v>
      </c>
      <c r="V72" s="322">
        <f t="shared" si="120"/>
        <v>11555.981956894007</v>
      </c>
      <c r="W72" s="322">
        <f t="shared" si="120"/>
        <v>18840.049993832043</v>
      </c>
      <c r="X72" s="322">
        <f t="shared" si="120"/>
        <v>11555.981956894007</v>
      </c>
      <c r="Y72" s="322">
        <f t="shared" si="120"/>
        <v>8127.1352726378027</v>
      </c>
      <c r="Z72" s="322">
        <f t="shared" si="120"/>
        <v>21518.278674130583</v>
      </c>
      <c r="AA72" s="322">
        <f t="shared" si="120"/>
        <v>19327.811996470464</v>
      </c>
      <c r="AB72" s="322">
        <f t="shared" si="120"/>
        <v>18840.049993832043</v>
      </c>
      <c r="AC72" s="322">
        <f t="shared" si="120"/>
        <v>1193.541904125399</v>
      </c>
      <c r="AD72" s="322">
        <f t="shared" si="120"/>
        <v>-2585.7794485564264</v>
      </c>
      <c r="AE72" s="322">
        <f t="shared" si="120"/>
        <v>86529.480549799802</v>
      </c>
      <c r="AF72" s="322">
        <f>AF66-AF70</f>
        <v>-14068.483642473915</v>
      </c>
      <c r="AG72" s="322">
        <f t="shared" ref="AG72:AR72" si="121">AG66-AG70</f>
        <v>-11793.684725578223</v>
      </c>
      <c r="AH72" s="322">
        <f t="shared" si="121"/>
        <v>4346.6522529558242</v>
      </c>
      <c r="AI72" s="322">
        <f t="shared" si="121"/>
        <v>14415.649679481779</v>
      </c>
      <c r="AJ72" s="322">
        <f t="shared" si="121"/>
        <v>22761.788148385505</v>
      </c>
      <c r="AK72" s="322">
        <f t="shared" si="121"/>
        <v>14415.649679481779</v>
      </c>
      <c r="AL72" s="322">
        <f t="shared" si="121"/>
        <v>10485.030884765707</v>
      </c>
      <c r="AM72" s="322">
        <f t="shared" si="121"/>
        <v>25830.977464290463</v>
      </c>
      <c r="AN72" s="322">
        <f t="shared" si="121"/>
        <v>23322.159467592897</v>
      </c>
      <c r="AO72" s="322">
        <f t="shared" si="121"/>
        <v>22761.788148385505</v>
      </c>
      <c r="AP72" s="322">
        <f t="shared" si="121"/>
        <v>2540.3032953335533</v>
      </c>
      <c r="AQ72" s="322">
        <f t="shared" si="121"/>
        <v>-1791.7263788540949</v>
      </c>
      <c r="AR72" s="322">
        <f t="shared" si="121"/>
        <v>113226.10427376698</v>
      </c>
      <c r="AS72" s="322">
        <f>AS66-AS70</f>
        <v>-14673.849634259954</v>
      </c>
      <c r="AT72" s="322">
        <f t="shared" ref="AT72:BE72" si="122">AT66-AT70</f>
        <v>-12288.254597525483</v>
      </c>
      <c r="AU72" s="322">
        <f t="shared" si="122"/>
        <v>4638.7429862767312</v>
      </c>
      <c r="AV72" s="322">
        <f t="shared" si="122"/>
        <v>15198.412826571057</v>
      </c>
      <c r="AW72" s="322">
        <f t="shared" si="122"/>
        <v>23951.335606813427</v>
      </c>
      <c r="AX72" s="322">
        <f t="shared" si="122"/>
        <v>15198.412826571057</v>
      </c>
      <c r="AY72" s="322">
        <f t="shared" si="122"/>
        <v>11076.273859788973</v>
      </c>
      <c r="AZ72" s="322">
        <f t="shared" si="122"/>
        <v>27170.101043569561</v>
      </c>
      <c r="BA72" s="322">
        <f t="shared" si="122"/>
        <v>24538.973876830743</v>
      </c>
      <c r="BB72" s="322">
        <f t="shared" si="122"/>
        <v>23951.335606813427</v>
      </c>
      <c r="BC72" s="322">
        <f t="shared" si="122"/>
        <v>2744.3314262248059</v>
      </c>
      <c r="BD72" s="322">
        <f t="shared" si="122"/>
        <v>-1798.7878872355068</v>
      </c>
      <c r="BE72" s="322">
        <f t="shared" si="122"/>
        <v>119707.02794043883</v>
      </c>
      <c r="BF72" s="322">
        <f>BF66-BF70</f>
        <v>-15005.098816949816</v>
      </c>
      <c r="BG72" s="322">
        <f t="shared" ref="BG72:BR72" si="123">BG66-BG70</f>
        <v>-12393.194290183346</v>
      </c>
      <c r="BH72" s="322">
        <f t="shared" si="123"/>
        <v>6120.252426286941</v>
      </c>
      <c r="BI72" s="322">
        <f t="shared" si="123"/>
        <v>17672.460366932923</v>
      </c>
      <c r="BJ72" s="322">
        <f t="shared" si="123"/>
        <v>27245.603669523691</v>
      </c>
      <c r="BK72" s="322">
        <f t="shared" si="123"/>
        <v>17672.460366932923</v>
      </c>
      <c r="BL72" s="322">
        <f t="shared" si="123"/>
        <v>13162.036174032502</v>
      </c>
      <c r="BM72" s="322">
        <f t="shared" si="123"/>
        <v>30766.495543396457</v>
      </c>
      <c r="BN72" s="322">
        <f t="shared" si="123"/>
        <v>27889.950594708731</v>
      </c>
      <c r="BO72" s="322">
        <f t="shared" si="123"/>
        <v>27245.603669523691</v>
      </c>
      <c r="BP72" s="322">
        <f t="shared" si="123"/>
        <v>4049.1400632317818</v>
      </c>
      <c r="BQ72" s="322">
        <f t="shared" si="123"/>
        <v>-921.53132145863492</v>
      </c>
      <c r="BR72" s="322">
        <f t="shared" si="123"/>
        <v>143504.17844597797</v>
      </c>
      <c r="BS72" s="37"/>
      <c r="BT72" s="2"/>
    </row>
    <row r="73" spans="1:72" ht="15.75" customHeight="1">
      <c r="A73" s="2"/>
      <c r="B73" s="321"/>
      <c r="C73" s="24"/>
      <c r="D73" s="24"/>
      <c r="E73" s="2"/>
      <c r="F73" s="42">
        <f t="shared" ref="F73:AK73" si="124">IF(F16&lt;&gt;0,F72/F16,"N/A")</f>
        <v>-0.5072811734904612</v>
      </c>
      <c r="G73" s="42">
        <f t="shared" si="124"/>
        <v>-0.28716421712261042</v>
      </c>
      <c r="H73" s="42">
        <f t="shared" si="124"/>
        <v>2.9011622978165976E-2</v>
      </c>
      <c r="I73" s="42">
        <f t="shared" si="124"/>
        <v>0.15144501498780755</v>
      </c>
      <c r="J73" s="42">
        <f t="shared" si="124"/>
        <v>0.2250689811846146</v>
      </c>
      <c r="K73" s="42">
        <f t="shared" si="124"/>
        <v>0.15144501498780755</v>
      </c>
      <c r="L73" s="42">
        <f t="shared" si="124"/>
        <v>0.10743456626074539</v>
      </c>
      <c r="M73" s="42">
        <f t="shared" si="124"/>
        <v>0.24859586416938859</v>
      </c>
      <c r="N73" s="42">
        <f t="shared" si="124"/>
        <v>0.23085752166299262</v>
      </c>
      <c r="O73" s="42">
        <f t="shared" si="124"/>
        <v>0.2250689811846146</v>
      </c>
      <c r="P73" s="42">
        <f t="shared" si="124"/>
        <v>4.3848174411684118E-3</v>
      </c>
      <c r="Q73" s="42">
        <f t="shared" si="124"/>
        <v>-6.9017056125058165E-2</v>
      </c>
      <c r="R73" s="42">
        <f t="shared" si="124"/>
        <v>8.8688765786037488E-2</v>
      </c>
      <c r="S73" s="42">
        <f t="shared" si="124"/>
        <v>-0.33560779254967738</v>
      </c>
      <c r="T73" s="42">
        <f t="shared" si="124"/>
        <v>-0.26859341957805483</v>
      </c>
      <c r="U73" s="42">
        <f t="shared" si="124"/>
        <v>4.6614155548254113E-2</v>
      </c>
      <c r="V73" s="42">
        <f t="shared" si="124"/>
        <v>0.16437240025850028</v>
      </c>
      <c r="W73" s="42">
        <f t="shared" si="124"/>
        <v>0.23772512959722003</v>
      </c>
      <c r="X73" s="42">
        <f t="shared" si="124"/>
        <v>0.16437240025850028</v>
      </c>
      <c r="Y73" s="42">
        <f t="shared" si="124"/>
        <v>0.12305854516784043</v>
      </c>
      <c r="Z73" s="42">
        <f t="shared" si="124"/>
        <v>0.26065844648309577</v>
      </c>
      <c r="AA73" s="42">
        <f t="shared" si="124"/>
        <v>0.24192870827255333</v>
      </c>
      <c r="AB73" s="42">
        <f t="shared" si="124"/>
        <v>0.23772512959722003</v>
      </c>
      <c r="AC73" s="42">
        <f t="shared" si="124"/>
        <v>2.0749607639883552E-2</v>
      </c>
      <c r="AD73" s="42">
        <f t="shared" si="124"/>
        <v>-4.8941331476228832E-2</v>
      </c>
      <c r="AE73" s="42">
        <f t="shared" si="124"/>
        <v>0.11105687014182948</v>
      </c>
      <c r="AF73" s="42">
        <f t="shared" si="124"/>
        <v>-0.31034467863166748</v>
      </c>
      <c r="AG73" s="42">
        <f t="shared" si="124"/>
        <v>-0.24470507647961029</v>
      </c>
      <c r="AH73" s="42">
        <f t="shared" si="124"/>
        <v>6.3923515419224711E-2</v>
      </c>
      <c r="AI73" s="42">
        <f t="shared" si="124"/>
        <v>0.1792380610873795</v>
      </c>
      <c r="AJ73" s="42">
        <f t="shared" si="124"/>
        <v>0.25105761244467023</v>
      </c>
      <c r="AK73" s="42">
        <f t="shared" si="124"/>
        <v>0.1792380610873795</v>
      </c>
      <c r="AL73" s="42">
        <f t="shared" ref="AL73:BQ73" si="125">IF(AL16&lt;&gt;0,AL72/AL16,"N/A")</f>
        <v>0.13877715422940276</v>
      </c>
      <c r="AM73" s="42">
        <f t="shared" si="125"/>
        <v>0.27351370408772374</v>
      </c>
      <c r="AN73" s="42">
        <f t="shared" si="125"/>
        <v>0.25518048009843286</v>
      </c>
      <c r="AO73" s="42">
        <f t="shared" si="125"/>
        <v>0.25105761244467023</v>
      </c>
      <c r="AP73" s="42">
        <f t="shared" si="125"/>
        <v>3.8603951807650146E-2</v>
      </c>
      <c r="AQ73" s="42">
        <f t="shared" si="125"/>
        <v>-2.96435330934984E-2</v>
      </c>
      <c r="AR73" s="42">
        <f t="shared" si="125"/>
        <v>0.12702870589706322</v>
      </c>
      <c r="AS73" s="42">
        <f t="shared" si="125"/>
        <v>-0.30828456304410129</v>
      </c>
      <c r="AT73" s="42">
        <f t="shared" si="125"/>
        <v>-0.24282554209201537</v>
      </c>
      <c r="AU73" s="42">
        <f t="shared" si="125"/>
        <v>6.4970583282130137E-2</v>
      </c>
      <c r="AV73" s="42">
        <f t="shared" si="125"/>
        <v>0.17997200510811759</v>
      </c>
      <c r="AW73" s="42">
        <f t="shared" si="125"/>
        <v>0.25159815644524597</v>
      </c>
      <c r="AX73" s="42">
        <f t="shared" si="125"/>
        <v>0.17997200510811759</v>
      </c>
      <c r="AY73" s="42">
        <f t="shared" si="125"/>
        <v>0.13962161254737659</v>
      </c>
      <c r="AZ73" s="42">
        <f t="shared" si="125"/>
        <v>0.27399346522481999</v>
      </c>
      <c r="BA73" s="42">
        <f t="shared" si="125"/>
        <v>0.25570886752631289</v>
      </c>
      <c r="BB73" s="42">
        <f t="shared" si="125"/>
        <v>0.25159815644524597</v>
      </c>
      <c r="BC73" s="42">
        <f t="shared" si="125"/>
        <v>3.9718556185533667E-2</v>
      </c>
      <c r="BD73" s="42">
        <f t="shared" si="125"/>
        <v>-2.8343203299427883E-2</v>
      </c>
      <c r="BE73" s="42">
        <f t="shared" si="125"/>
        <v>0.12790445103997372</v>
      </c>
      <c r="BF73" s="42">
        <f t="shared" si="125"/>
        <v>-0.28868481182026362</v>
      </c>
      <c r="BG73" s="42">
        <f t="shared" si="125"/>
        <v>-0.2242666965825984</v>
      </c>
      <c r="BH73" s="42">
        <f t="shared" si="125"/>
        <v>7.849882414544522E-2</v>
      </c>
      <c r="BI73" s="42">
        <f t="shared" si="125"/>
        <v>0.19163776464819182</v>
      </c>
      <c r="BJ73" s="42">
        <f t="shared" si="125"/>
        <v>0.26209064212829958</v>
      </c>
      <c r="BK73" s="42">
        <f t="shared" si="125"/>
        <v>0.19163776464819182</v>
      </c>
      <c r="BL73" s="42">
        <f t="shared" si="125"/>
        <v>0.15193555133858674</v>
      </c>
      <c r="BM73" s="42">
        <f t="shared" si="125"/>
        <v>0.28412166028624186</v>
      </c>
      <c r="BN73" s="42">
        <f t="shared" si="125"/>
        <v>0.26614266241868806</v>
      </c>
      <c r="BO73" s="42">
        <f t="shared" si="125"/>
        <v>0.26209064212829958</v>
      </c>
      <c r="BP73" s="42">
        <f t="shared" si="125"/>
        <v>5.3665731739864872E-2</v>
      </c>
      <c r="BQ73" s="42">
        <f t="shared" si="125"/>
        <v>-1.3297084845981853E-2</v>
      </c>
      <c r="BR73" s="42">
        <f t="shared" ref="BR73" si="126">IF(BR16&lt;&gt;0,BR72/BR16,"N/A")</f>
        <v>0.14041319387816306</v>
      </c>
      <c r="BS73" s="37"/>
      <c r="BT73" s="2"/>
    </row>
    <row r="74" spans="1:72" ht="15.75" customHeight="1">
      <c r="A74" s="2"/>
      <c r="B74" s="28"/>
      <c r="C74" s="24"/>
      <c r="D74" s="24"/>
      <c r="E74" s="21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3"/>
    </row>
    <row r="75" spans="1:72" ht="15.75" customHeight="1">
      <c r="A75" s="2"/>
      <c r="B75" s="23" t="s">
        <v>69</v>
      </c>
      <c r="C75" s="24"/>
      <c r="D75" s="24"/>
      <c r="E75" s="2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7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7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7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7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7"/>
      <c r="BS75" s="37"/>
    </row>
    <row r="76" spans="1:72" ht="15.75" customHeight="1">
      <c r="A76" s="2"/>
      <c r="B76" s="28"/>
      <c r="C76" s="24" t="s">
        <v>70</v>
      </c>
      <c r="D76" s="24"/>
      <c r="E76" s="21"/>
      <c r="F76" s="38">
        <f>-IF(Assumptions!$B$36&gt;F$6,0,HLOOKUP(F$6,LoanPayCalc!$I$10:$BQ$13,4,FALSE))-IF(Assumptions!$B$40&gt;F$6,0,HLOOKUP(F$6,LoanPayCalc!$CC$10:$EK$13,4,FALSE))</f>
        <v>0</v>
      </c>
      <c r="G76" s="38">
        <f>-IF(Assumptions!$B$36&gt;G$6,0,HLOOKUP(G$6,LoanPayCalc!$I$10:$BQ$13,4,FALSE))-IF(Assumptions!$B$40&gt;G$6,0,HLOOKUP(G$6,LoanPayCalc!$CC$10:$EK$13,4,FALSE))</f>
        <v>0</v>
      </c>
      <c r="H76" s="38">
        <f>-IF(Assumptions!$B$36&gt;H$6,0,HLOOKUP(H$6,LoanPayCalc!$I$10:$BQ$13,4,FALSE))-IF(Assumptions!$B$40&gt;H$6,0,HLOOKUP(H$6,LoanPayCalc!$CC$10:$EK$13,4,FALSE))</f>
        <v>0</v>
      </c>
      <c r="I76" s="38">
        <f>-IF(Assumptions!$B$36&gt;I$6,0,HLOOKUP(I$6,LoanPayCalc!$I$10:$BQ$13,4,FALSE))-IF(Assumptions!$B$40&gt;I$6,0,HLOOKUP(I$6,LoanPayCalc!$CC$10:$EK$13,4,FALSE))</f>
        <v>0</v>
      </c>
      <c r="J76" s="38">
        <f>-IF(Assumptions!$B$36&gt;J$6,0,HLOOKUP(J$6,LoanPayCalc!$I$10:$BQ$13,4,FALSE))-IF(Assumptions!$B$40&gt;J$6,0,HLOOKUP(J$6,LoanPayCalc!$CC$10:$EK$13,4,FALSE))</f>
        <v>0</v>
      </c>
      <c r="K76" s="38">
        <f>-IF(Assumptions!$B$36&gt;K$6,0,HLOOKUP(K$6,LoanPayCalc!$I$10:$BQ$13,4,FALSE))-IF(Assumptions!$B$40&gt;K$6,0,HLOOKUP(K$6,LoanPayCalc!$CC$10:$EK$13,4,FALSE))</f>
        <v>0</v>
      </c>
      <c r="L76" s="38">
        <f>-IF(Assumptions!$B$36&gt;L$6,0,HLOOKUP(L$6,LoanPayCalc!$I$10:$BQ$13,4,FALSE))-IF(Assumptions!$B$40&gt;L$6,0,HLOOKUP(L$6,LoanPayCalc!$CC$10:$EK$13,4,FALSE))</f>
        <v>0</v>
      </c>
      <c r="M76" s="38">
        <f>-IF(Assumptions!$B$36&gt;M$6,0,HLOOKUP(M$6,LoanPayCalc!$I$10:$BQ$13,4,FALSE))-IF(Assumptions!$B$40&gt;M$6,0,HLOOKUP(M$6,LoanPayCalc!$CC$10:$EK$13,4,FALSE))</f>
        <v>0</v>
      </c>
      <c r="N76" s="38">
        <f>-IF(Assumptions!$B$36&gt;N$6,0,HLOOKUP(N$6,LoanPayCalc!$I$10:$BQ$13,4,FALSE))-IF(Assumptions!$B$40&gt;N$6,0,HLOOKUP(N$6,LoanPayCalc!$CC$10:$EK$13,4,FALSE))</f>
        <v>0</v>
      </c>
      <c r="O76" s="38">
        <f>-IF(Assumptions!$B$36&gt;O$6,0,HLOOKUP(O$6,LoanPayCalc!$I$10:$BQ$13,4,FALSE))-IF(Assumptions!$B$40&gt;O$6,0,HLOOKUP(O$6,LoanPayCalc!$CC$10:$EK$13,4,FALSE))</f>
        <v>0</v>
      </c>
      <c r="P76" s="38">
        <f>-IF(Assumptions!$B$36&gt;P$6,0,HLOOKUP(P$6,LoanPayCalc!$I$10:$BQ$13,4,FALSE))-IF(Assumptions!$B$40&gt;P$6,0,HLOOKUP(P$6,LoanPayCalc!$CC$10:$EK$13,4,FALSE))</f>
        <v>0</v>
      </c>
      <c r="Q76" s="38">
        <f>-IF(Assumptions!$B$36&gt;Q$6,0,HLOOKUP(Q$6,LoanPayCalc!$I$10:$BQ$13,4,FALSE))-IF(Assumptions!$B$40&gt;Q$6,0,HLOOKUP(Q$6,LoanPayCalc!$CC$10:$EK$13,4,FALSE))</f>
        <v>0</v>
      </c>
      <c r="R76" s="37">
        <f>SUM(F76:Q76)</f>
        <v>0</v>
      </c>
      <c r="S76" s="38">
        <f>-IF(Assumptions!$B$36&gt;S$6,0,HLOOKUP(S$6,LoanPayCalc!$I$10:$BQ$13,4,FALSE))-IF(Assumptions!$B$40&gt;S$6,0,HLOOKUP(S$6,LoanPayCalc!$CC$10:$EK$13,4,FALSE))</f>
        <v>0</v>
      </c>
      <c r="T76" s="38">
        <f>-IF(Assumptions!$B$36&gt;T$6,0,HLOOKUP(T$6,LoanPayCalc!$I$10:$BQ$13,4,FALSE))-IF(Assumptions!$B$40&gt;T$6,0,HLOOKUP(T$6,LoanPayCalc!$CC$10:$EK$13,4,FALSE))</f>
        <v>0</v>
      </c>
      <c r="U76" s="38">
        <f>-IF(Assumptions!$B$36&gt;U$6,0,HLOOKUP(U$6,LoanPayCalc!$I$10:$BQ$13,4,FALSE))-IF(Assumptions!$B$40&gt;U$6,0,HLOOKUP(U$6,LoanPayCalc!$CC$10:$EK$13,4,FALSE))</f>
        <v>0</v>
      </c>
      <c r="V76" s="38">
        <f>-IF(Assumptions!$B$36&gt;V$6,0,HLOOKUP(V$6,LoanPayCalc!$I$10:$BQ$13,4,FALSE))-IF(Assumptions!$B$40&gt;V$6,0,HLOOKUP(V$6,LoanPayCalc!$CC$10:$EK$13,4,FALSE))</f>
        <v>0</v>
      </c>
      <c r="W76" s="38">
        <f>-IF(Assumptions!$B$36&gt;W$6,0,HLOOKUP(W$6,LoanPayCalc!$I$10:$BQ$13,4,FALSE))-IF(Assumptions!$B$40&gt;W$6,0,HLOOKUP(W$6,LoanPayCalc!$CC$10:$EK$13,4,FALSE))</f>
        <v>0</v>
      </c>
      <c r="X76" s="38">
        <f>-IF(Assumptions!$B$36&gt;X$6,0,HLOOKUP(X$6,LoanPayCalc!$I$10:$BQ$13,4,FALSE))-IF(Assumptions!$B$40&gt;X$6,0,HLOOKUP(X$6,LoanPayCalc!$CC$10:$EK$13,4,FALSE))</f>
        <v>0</v>
      </c>
      <c r="Y76" s="38">
        <f>-IF(Assumptions!$B$36&gt;Y$6,0,HLOOKUP(Y$6,LoanPayCalc!$I$10:$BQ$13,4,FALSE))-IF(Assumptions!$B$40&gt;Y$6,0,HLOOKUP(Y$6,LoanPayCalc!$CC$10:$EK$13,4,FALSE))</f>
        <v>0</v>
      </c>
      <c r="Z76" s="38">
        <f>-IF(Assumptions!$B$36&gt;Z$6,0,HLOOKUP(Z$6,LoanPayCalc!$I$10:$BQ$13,4,FALSE))-IF(Assumptions!$B$40&gt;Z$6,0,HLOOKUP(Z$6,LoanPayCalc!$CC$10:$EK$13,4,FALSE))</f>
        <v>0</v>
      </c>
      <c r="AA76" s="38">
        <f>-IF(Assumptions!$B$36&gt;AA$6,0,HLOOKUP(AA$6,LoanPayCalc!$I$10:$BQ$13,4,FALSE))-IF(Assumptions!$B$40&gt;AA$6,0,HLOOKUP(AA$6,LoanPayCalc!$CC$10:$EK$13,4,FALSE))</f>
        <v>0</v>
      </c>
      <c r="AB76" s="38">
        <f>-IF(Assumptions!$B$36&gt;AB$6,0,HLOOKUP(AB$6,LoanPayCalc!$I$10:$BQ$13,4,FALSE))-IF(Assumptions!$B$40&gt;AB$6,0,HLOOKUP(AB$6,LoanPayCalc!$CC$10:$EK$13,4,FALSE))</f>
        <v>0</v>
      </c>
      <c r="AC76" s="38">
        <f>-IF(Assumptions!$B$36&gt;AC$6,0,HLOOKUP(AC$6,LoanPayCalc!$I$10:$BQ$13,4,FALSE))-IF(Assumptions!$B$40&gt;AC$6,0,HLOOKUP(AC$6,LoanPayCalc!$CC$10:$EK$13,4,FALSE))</f>
        <v>0</v>
      </c>
      <c r="AD76" s="38">
        <f>-IF(Assumptions!$B$36&gt;AD$6,0,HLOOKUP(AD$6,LoanPayCalc!$I$10:$BQ$13,4,FALSE))-IF(Assumptions!$B$40&gt;AD$6,0,HLOOKUP(AD$6,LoanPayCalc!$CC$10:$EK$13,4,FALSE))</f>
        <v>0</v>
      </c>
      <c r="AE76" s="37">
        <f>SUM(S76:AD76)</f>
        <v>0</v>
      </c>
      <c r="AF76" s="38">
        <f>-IF(Assumptions!$B$36&gt;AF$6,0,HLOOKUP(AF$6,LoanPayCalc!$I$10:$BQ$13,4,FALSE))-IF(Assumptions!$B$40&gt;AF$6,0,HLOOKUP(AF$6,LoanPayCalc!$CC$10:$EK$13,4,FALSE))</f>
        <v>0</v>
      </c>
      <c r="AG76" s="38">
        <f>-IF(Assumptions!$B$36&gt;AG$6,0,HLOOKUP(AG$6,LoanPayCalc!$I$10:$BQ$13,4,FALSE))-IF(Assumptions!$B$40&gt;AG$6,0,HLOOKUP(AG$6,LoanPayCalc!$CC$10:$EK$13,4,FALSE))</f>
        <v>0</v>
      </c>
      <c r="AH76" s="38">
        <f>-IF(Assumptions!$B$36&gt;AH$6,0,HLOOKUP(AH$6,LoanPayCalc!$I$10:$BQ$13,4,FALSE))-IF(Assumptions!$B$40&gt;AH$6,0,HLOOKUP(AH$6,LoanPayCalc!$CC$10:$EK$13,4,FALSE))</f>
        <v>0</v>
      </c>
      <c r="AI76" s="38">
        <f>-IF(Assumptions!$B$36&gt;AI$6,0,HLOOKUP(AI$6,LoanPayCalc!$I$10:$BQ$13,4,FALSE))-IF(Assumptions!$B$40&gt;AI$6,0,HLOOKUP(AI$6,LoanPayCalc!$CC$10:$EK$13,4,FALSE))</f>
        <v>0</v>
      </c>
      <c r="AJ76" s="38">
        <f>-IF(Assumptions!$B$36&gt;AJ$6,0,HLOOKUP(AJ$6,LoanPayCalc!$I$10:$BQ$13,4,FALSE))-IF(Assumptions!$B$40&gt;AJ$6,0,HLOOKUP(AJ$6,LoanPayCalc!$CC$10:$EK$13,4,FALSE))</f>
        <v>0</v>
      </c>
      <c r="AK76" s="38">
        <f>-IF(Assumptions!$B$36&gt;AK$6,0,HLOOKUP(AK$6,LoanPayCalc!$I$10:$BQ$13,4,FALSE))-IF(Assumptions!$B$40&gt;AK$6,0,HLOOKUP(AK$6,LoanPayCalc!$CC$10:$EK$13,4,FALSE))</f>
        <v>0</v>
      </c>
      <c r="AL76" s="38">
        <f>-IF(Assumptions!$B$36&gt;AL$6,0,HLOOKUP(AL$6,LoanPayCalc!$I$10:$BQ$13,4,FALSE))-IF(Assumptions!$B$40&gt;AL$6,0,HLOOKUP(AL$6,LoanPayCalc!$CC$10:$EK$13,4,FALSE))</f>
        <v>0</v>
      </c>
      <c r="AM76" s="38">
        <f>-IF(Assumptions!$B$36&gt;AM$6,0,HLOOKUP(AM$6,LoanPayCalc!$I$10:$BQ$13,4,FALSE))-IF(Assumptions!$B$40&gt;AM$6,0,HLOOKUP(AM$6,LoanPayCalc!$CC$10:$EK$13,4,FALSE))</f>
        <v>0</v>
      </c>
      <c r="AN76" s="38">
        <f>-IF(Assumptions!$B$36&gt;AN$6,0,HLOOKUP(AN$6,LoanPayCalc!$I$10:$BQ$13,4,FALSE))-IF(Assumptions!$B$40&gt;AN$6,0,HLOOKUP(AN$6,LoanPayCalc!$CC$10:$EK$13,4,FALSE))</f>
        <v>0</v>
      </c>
      <c r="AO76" s="38">
        <f>-IF(Assumptions!$B$36&gt;AO$6,0,HLOOKUP(AO$6,LoanPayCalc!$I$10:$BQ$13,4,FALSE))-IF(Assumptions!$B$40&gt;AO$6,0,HLOOKUP(AO$6,LoanPayCalc!$CC$10:$EK$13,4,FALSE))</f>
        <v>0</v>
      </c>
      <c r="AP76" s="38">
        <f>-IF(Assumptions!$B$36&gt;AP$6,0,HLOOKUP(AP$6,LoanPayCalc!$I$10:$BQ$13,4,FALSE))-IF(Assumptions!$B$40&gt;AP$6,0,HLOOKUP(AP$6,LoanPayCalc!$CC$10:$EK$13,4,FALSE))</f>
        <v>0</v>
      </c>
      <c r="AQ76" s="38">
        <f>-IF(Assumptions!$B$36&gt;AQ$6,0,HLOOKUP(AQ$6,LoanPayCalc!$I$10:$BQ$13,4,FALSE))-IF(Assumptions!$B$40&gt;AQ$6,0,HLOOKUP(AQ$6,LoanPayCalc!$CC$10:$EK$13,4,FALSE))</f>
        <v>0</v>
      </c>
      <c r="AR76" s="37">
        <f>SUM(AF76:AQ76)</f>
        <v>0</v>
      </c>
      <c r="AS76" s="38">
        <f>-IF(Assumptions!$B$36&gt;AS$6,0,HLOOKUP(AS$6,LoanPayCalc!$I$10:$BQ$13,4,FALSE))-IF(Assumptions!$B$40&gt;AS$6,0,HLOOKUP(AS$6,LoanPayCalc!$CC$10:$EK$13,4,FALSE))</f>
        <v>0</v>
      </c>
      <c r="AT76" s="38">
        <f>-IF(Assumptions!$B$36&gt;AT$6,0,HLOOKUP(AT$6,LoanPayCalc!$I$10:$BQ$13,4,FALSE))-IF(Assumptions!$B$40&gt;AT$6,0,HLOOKUP(AT$6,LoanPayCalc!$CC$10:$EK$13,4,FALSE))</f>
        <v>0</v>
      </c>
      <c r="AU76" s="38">
        <f>-IF(Assumptions!$B$36&gt;AU$6,0,HLOOKUP(AU$6,LoanPayCalc!$I$10:$BQ$13,4,FALSE))-IF(Assumptions!$B$40&gt;AU$6,0,HLOOKUP(AU$6,LoanPayCalc!$CC$10:$EK$13,4,FALSE))</f>
        <v>0</v>
      </c>
      <c r="AV76" s="38">
        <f>-IF(Assumptions!$B$36&gt;AV$6,0,HLOOKUP(AV$6,LoanPayCalc!$I$10:$BQ$13,4,FALSE))-IF(Assumptions!$B$40&gt;AV$6,0,HLOOKUP(AV$6,LoanPayCalc!$CC$10:$EK$13,4,FALSE))</f>
        <v>0</v>
      </c>
      <c r="AW76" s="38">
        <f>-IF(Assumptions!$B$36&gt;AW$6,0,HLOOKUP(AW$6,LoanPayCalc!$I$10:$BQ$13,4,FALSE))-IF(Assumptions!$B$40&gt;AW$6,0,HLOOKUP(AW$6,LoanPayCalc!$CC$10:$EK$13,4,FALSE))</f>
        <v>0</v>
      </c>
      <c r="AX76" s="38">
        <f>-IF(Assumptions!$B$36&gt;AX$6,0,HLOOKUP(AX$6,LoanPayCalc!$I$10:$BQ$13,4,FALSE))-IF(Assumptions!$B$40&gt;AX$6,0,HLOOKUP(AX$6,LoanPayCalc!$CC$10:$EK$13,4,FALSE))</f>
        <v>0</v>
      </c>
      <c r="AY76" s="38">
        <f>-IF(Assumptions!$B$36&gt;AY$6,0,HLOOKUP(AY$6,LoanPayCalc!$I$10:$BQ$13,4,FALSE))-IF(Assumptions!$B$40&gt;AY$6,0,HLOOKUP(AY$6,LoanPayCalc!$CC$10:$EK$13,4,FALSE))</f>
        <v>0</v>
      </c>
      <c r="AZ76" s="38">
        <f>-IF(Assumptions!$B$36&gt;AZ$6,0,HLOOKUP(AZ$6,LoanPayCalc!$I$10:$BQ$13,4,FALSE))-IF(Assumptions!$B$40&gt;AZ$6,0,HLOOKUP(AZ$6,LoanPayCalc!$CC$10:$EK$13,4,FALSE))</f>
        <v>0</v>
      </c>
      <c r="BA76" s="38">
        <f>-IF(Assumptions!$B$36&gt;BA$6,0,HLOOKUP(BA$6,LoanPayCalc!$I$10:$BQ$13,4,FALSE))-IF(Assumptions!$B$40&gt;BA$6,0,HLOOKUP(BA$6,LoanPayCalc!$CC$10:$EK$13,4,FALSE))</f>
        <v>0</v>
      </c>
      <c r="BB76" s="38">
        <f>-IF(Assumptions!$B$36&gt;BB$6,0,HLOOKUP(BB$6,LoanPayCalc!$I$10:$BQ$13,4,FALSE))-IF(Assumptions!$B$40&gt;BB$6,0,HLOOKUP(BB$6,LoanPayCalc!$CC$10:$EK$13,4,FALSE))</f>
        <v>0</v>
      </c>
      <c r="BC76" s="38">
        <f>-IF(Assumptions!$B$36&gt;BC$6,0,HLOOKUP(BC$6,LoanPayCalc!$I$10:$BQ$13,4,FALSE))-IF(Assumptions!$B$40&gt;BC$6,0,HLOOKUP(BC$6,LoanPayCalc!$CC$10:$EK$13,4,FALSE))</f>
        <v>0</v>
      </c>
      <c r="BD76" s="38">
        <f>-IF(Assumptions!$B$36&gt;BD$6,0,HLOOKUP(BD$6,LoanPayCalc!$I$10:$BQ$13,4,FALSE))-IF(Assumptions!$B$40&gt;BD$6,0,HLOOKUP(BD$6,LoanPayCalc!$CC$10:$EK$13,4,FALSE))</f>
        <v>0</v>
      </c>
      <c r="BE76" s="37">
        <f>SUM(AS76:BD76)</f>
        <v>0</v>
      </c>
      <c r="BF76" s="38">
        <f>-IF(Assumptions!$B$36&gt;BF$6,0,HLOOKUP(BF$6,LoanPayCalc!$I$10:$BQ$13,4,FALSE))-IF(Assumptions!$B$40&gt;BF$6,0,HLOOKUP(BF$6,LoanPayCalc!$CC$10:$EK$13,4,FALSE))</f>
        <v>0</v>
      </c>
      <c r="BG76" s="38">
        <f>-IF(Assumptions!$B$36&gt;BG$6,0,HLOOKUP(BG$6,LoanPayCalc!$I$10:$BQ$13,4,FALSE))-IF(Assumptions!$B$40&gt;BG$6,0,HLOOKUP(BG$6,LoanPayCalc!$CC$10:$EK$13,4,FALSE))</f>
        <v>0</v>
      </c>
      <c r="BH76" s="38">
        <f>-IF(Assumptions!$B$36&gt;BH$6,0,HLOOKUP(BH$6,LoanPayCalc!$I$10:$BQ$13,4,FALSE))-IF(Assumptions!$B$40&gt;BH$6,0,HLOOKUP(BH$6,LoanPayCalc!$CC$10:$EK$13,4,FALSE))</f>
        <v>0</v>
      </c>
      <c r="BI76" s="38">
        <f>-IF(Assumptions!$B$36&gt;BI$6,0,HLOOKUP(BI$6,LoanPayCalc!$I$10:$BQ$13,4,FALSE))-IF(Assumptions!$B$40&gt;BI$6,0,HLOOKUP(BI$6,LoanPayCalc!$CC$10:$EK$13,4,FALSE))</f>
        <v>0</v>
      </c>
      <c r="BJ76" s="38">
        <f>-IF(Assumptions!$B$36&gt;BJ$6,0,HLOOKUP(BJ$6,LoanPayCalc!$I$10:$BQ$13,4,FALSE))-IF(Assumptions!$B$40&gt;BJ$6,0,HLOOKUP(BJ$6,LoanPayCalc!$CC$10:$EK$13,4,FALSE))</f>
        <v>0</v>
      </c>
      <c r="BK76" s="38">
        <f>-IF(Assumptions!$B$36&gt;BK$6,0,HLOOKUP(BK$6,LoanPayCalc!$I$10:$BQ$13,4,FALSE))-IF(Assumptions!$B$40&gt;BK$6,0,HLOOKUP(BK$6,LoanPayCalc!$CC$10:$EK$13,4,FALSE))</f>
        <v>0</v>
      </c>
      <c r="BL76" s="38">
        <f>-IF(Assumptions!$B$36&gt;BL$6,0,HLOOKUP(BL$6,LoanPayCalc!$I$10:$BQ$13,4,FALSE))-IF(Assumptions!$B$40&gt;BL$6,0,HLOOKUP(BL$6,LoanPayCalc!$CC$10:$EK$13,4,FALSE))</f>
        <v>0</v>
      </c>
      <c r="BM76" s="38">
        <f>-IF(Assumptions!$B$36&gt;BM$6,0,HLOOKUP(BM$6,LoanPayCalc!$I$10:$BQ$13,4,FALSE))-IF(Assumptions!$B$40&gt;BM$6,0,HLOOKUP(BM$6,LoanPayCalc!$CC$10:$EK$13,4,FALSE))</f>
        <v>0</v>
      </c>
      <c r="BN76" s="38">
        <f>-IF(Assumptions!$B$36&gt;BN$6,0,HLOOKUP(BN$6,LoanPayCalc!$I$10:$BQ$13,4,FALSE))-IF(Assumptions!$B$40&gt;BN$6,0,HLOOKUP(BN$6,LoanPayCalc!$CC$10:$EK$13,4,FALSE))</f>
        <v>0</v>
      </c>
      <c r="BO76" s="38">
        <f>-IF(Assumptions!$B$36&gt;BO$6,0,HLOOKUP(BO$6,LoanPayCalc!$I$10:$BQ$13,4,FALSE))-IF(Assumptions!$B$40&gt;BO$6,0,HLOOKUP(BO$6,LoanPayCalc!$CC$10:$EK$13,4,FALSE))</f>
        <v>0</v>
      </c>
      <c r="BP76" s="38">
        <f>-IF(Assumptions!$B$36&gt;BP$6,0,HLOOKUP(BP$6,LoanPayCalc!$I$10:$BQ$13,4,FALSE))-IF(Assumptions!$B$40&gt;BP$6,0,HLOOKUP(BP$6,LoanPayCalc!$CC$10:$EK$13,4,FALSE))</f>
        <v>0</v>
      </c>
      <c r="BQ76" s="38">
        <f>-IF(Assumptions!$B$36&gt;BQ$6,0,HLOOKUP(BQ$6,LoanPayCalc!$I$10:$BQ$13,4,FALSE))-IF(Assumptions!$B$40&gt;BQ$6,0,HLOOKUP(BQ$6,LoanPayCalc!$CC$10:$EK$13,4,FALSE))</f>
        <v>0</v>
      </c>
      <c r="BR76" s="37">
        <f>SUM(BF76:BQ76)</f>
        <v>0</v>
      </c>
      <c r="BS76" s="37">
        <f>R76+AE76+AR76+BE76+BR76</f>
        <v>0</v>
      </c>
      <c r="BT76" s="2"/>
    </row>
    <row r="77" spans="1:72" ht="15.75" customHeight="1">
      <c r="A77" s="2"/>
      <c r="B77" s="28"/>
      <c r="C77" s="24"/>
      <c r="D77" s="27" t="s">
        <v>71</v>
      </c>
      <c r="E77" s="21"/>
      <c r="F77" s="41">
        <f t="shared" ref="F77:BS77" si="127">SUM(F76)</f>
        <v>0</v>
      </c>
      <c r="G77" s="41">
        <f t="shared" si="127"/>
        <v>0</v>
      </c>
      <c r="H77" s="41">
        <f t="shared" si="127"/>
        <v>0</v>
      </c>
      <c r="I77" s="41">
        <f t="shared" si="127"/>
        <v>0</v>
      </c>
      <c r="J77" s="41">
        <f t="shared" si="127"/>
        <v>0</v>
      </c>
      <c r="K77" s="41">
        <f t="shared" si="127"/>
        <v>0</v>
      </c>
      <c r="L77" s="41">
        <f t="shared" si="127"/>
        <v>0</v>
      </c>
      <c r="M77" s="41">
        <f t="shared" si="127"/>
        <v>0</v>
      </c>
      <c r="N77" s="41">
        <f t="shared" si="127"/>
        <v>0</v>
      </c>
      <c r="O77" s="41">
        <f t="shared" si="127"/>
        <v>0</v>
      </c>
      <c r="P77" s="41">
        <f t="shared" si="127"/>
        <v>0</v>
      </c>
      <c r="Q77" s="41">
        <f t="shared" si="127"/>
        <v>0</v>
      </c>
      <c r="R77" s="41">
        <f t="shared" si="127"/>
        <v>0</v>
      </c>
      <c r="S77" s="41">
        <f t="shared" si="127"/>
        <v>0</v>
      </c>
      <c r="T77" s="41">
        <f t="shared" si="127"/>
        <v>0</v>
      </c>
      <c r="U77" s="41">
        <f t="shared" si="127"/>
        <v>0</v>
      </c>
      <c r="V77" s="41">
        <f t="shared" si="127"/>
        <v>0</v>
      </c>
      <c r="W77" s="41">
        <f t="shared" si="127"/>
        <v>0</v>
      </c>
      <c r="X77" s="41">
        <f t="shared" si="127"/>
        <v>0</v>
      </c>
      <c r="Y77" s="41">
        <f t="shared" si="127"/>
        <v>0</v>
      </c>
      <c r="Z77" s="41">
        <f t="shared" si="127"/>
        <v>0</v>
      </c>
      <c r="AA77" s="41">
        <f t="shared" si="127"/>
        <v>0</v>
      </c>
      <c r="AB77" s="41">
        <f t="shared" si="127"/>
        <v>0</v>
      </c>
      <c r="AC77" s="41">
        <f t="shared" si="127"/>
        <v>0</v>
      </c>
      <c r="AD77" s="41">
        <f t="shared" si="127"/>
        <v>0</v>
      </c>
      <c r="AE77" s="41">
        <f t="shared" si="127"/>
        <v>0</v>
      </c>
      <c r="AF77" s="41">
        <f t="shared" si="127"/>
        <v>0</v>
      </c>
      <c r="AG77" s="41">
        <f t="shared" si="127"/>
        <v>0</v>
      </c>
      <c r="AH77" s="41">
        <f t="shared" si="127"/>
        <v>0</v>
      </c>
      <c r="AI77" s="41">
        <f t="shared" si="127"/>
        <v>0</v>
      </c>
      <c r="AJ77" s="41">
        <f t="shared" si="127"/>
        <v>0</v>
      </c>
      <c r="AK77" s="41">
        <f t="shared" si="127"/>
        <v>0</v>
      </c>
      <c r="AL77" s="41">
        <f t="shared" si="127"/>
        <v>0</v>
      </c>
      <c r="AM77" s="41">
        <f t="shared" si="127"/>
        <v>0</v>
      </c>
      <c r="AN77" s="41">
        <f t="shared" si="127"/>
        <v>0</v>
      </c>
      <c r="AO77" s="41">
        <f t="shared" si="127"/>
        <v>0</v>
      </c>
      <c r="AP77" s="41">
        <f t="shared" si="127"/>
        <v>0</v>
      </c>
      <c r="AQ77" s="41">
        <f t="shared" si="127"/>
        <v>0</v>
      </c>
      <c r="AR77" s="41">
        <f t="shared" si="127"/>
        <v>0</v>
      </c>
      <c r="AS77" s="41">
        <f t="shared" si="127"/>
        <v>0</v>
      </c>
      <c r="AT77" s="41">
        <f t="shared" si="127"/>
        <v>0</v>
      </c>
      <c r="AU77" s="41">
        <f t="shared" si="127"/>
        <v>0</v>
      </c>
      <c r="AV77" s="41">
        <f t="shared" si="127"/>
        <v>0</v>
      </c>
      <c r="AW77" s="41">
        <f t="shared" si="127"/>
        <v>0</v>
      </c>
      <c r="AX77" s="41">
        <f t="shared" si="127"/>
        <v>0</v>
      </c>
      <c r="AY77" s="41">
        <f t="shared" si="127"/>
        <v>0</v>
      </c>
      <c r="AZ77" s="41">
        <f t="shared" si="127"/>
        <v>0</v>
      </c>
      <c r="BA77" s="41">
        <f t="shared" si="127"/>
        <v>0</v>
      </c>
      <c r="BB77" s="41">
        <f t="shared" si="127"/>
        <v>0</v>
      </c>
      <c r="BC77" s="41">
        <f t="shared" si="127"/>
        <v>0</v>
      </c>
      <c r="BD77" s="41">
        <f t="shared" si="127"/>
        <v>0</v>
      </c>
      <c r="BE77" s="41">
        <f t="shared" si="127"/>
        <v>0</v>
      </c>
      <c r="BF77" s="41">
        <f t="shared" si="127"/>
        <v>0</v>
      </c>
      <c r="BG77" s="41">
        <f t="shared" si="127"/>
        <v>0</v>
      </c>
      <c r="BH77" s="41">
        <f t="shared" si="127"/>
        <v>0</v>
      </c>
      <c r="BI77" s="41">
        <f t="shared" si="127"/>
        <v>0</v>
      </c>
      <c r="BJ77" s="41">
        <f t="shared" si="127"/>
        <v>0</v>
      </c>
      <c r="BK77" s="41">
        <f t="shared" si="127"/>
        <v>0</v>
      </c>
      <c r="BL77" s="41">
        <f t="shared" si="127"/>
        <v>0</v>
      </c>
      <c r="BM77" s="41">
        <f t="shared" si="127"/>
        <v>0</v>
      </c>
      <c r="BN77" s="41">
        <f t="shared" si="127"/>
        <v>0</v>
      </c>
      <c r="BO77" s="41">
        <f t="shared" si="127"/>
        <v>0</v>
      </c>
      <c r="BP77" s="41">
        <f t="shared" si="127"/>
        <v>0</v>
      </c>
      <c r="BQ77" s="41">
        <f t="shared" si="127"/>
        <v>0</v>
      </c>
      <c r="BR77" s="41">
        <f t="shared" si="127"/>
        <v>0</v>
      </c>
      <c r="BS77" s="41">
        <f t="shared" si="127"/>
        <v>0</v>
      </c>
    </row>
    <row r="78" spans="1:72" ht="15.75" customHeight="1">
      <c r="A78" s="2"/>
      <c r="B78" s="28"/>
      <c r="C78" s="24"/>
      <c r="D78" s="24"/>
      <c r="E78" s="2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7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7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7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7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7"/>
      <c r="BS78" s="37"/>
    </row>
    <row r="79" spans="1:72" ht="15.75" customHeight="1">
      <c r="A79" s="2"/>
      <c r="B79" s="23" t="s">
        <v>72</v>
      </c>
      <c r="C79" s="24"/>
      <c r="D79" s="24"/>
      <c r="E79" s="21"/>
      <c r="F79" s="3">
        <f>F72+F77</f>
        <v>-17592.173973130364</v>
      </c>
      <c r="G79" s="3">
        <f t="shared" ref="G79:Q79" si="128">G72+G77</f>
        <v>-10646.618879139049</v>
      </c>
      <c r="H79" s="3">
        <f t="shared" si="128"/>
        <v>1509.1557069711344</v>
      </c>
      <c r="I79" s="3">
        <f t="shared" si="128"/>
        <v>9335.8203702525898</v>
      </c>
      <c r="J79" s="3">
        <f t="shared" si="128"/>
        <v>15610.485387072607</v>
      </c>
      <c r="K79" s="3">
        <f t="shared" si="128"/>
        <v>9335.8203702525898</v>
      </c>
      <c r="L79" s="3">
        <f t="shared" si="128"/>
        <v>6209.5989336716229</v>
      </c>
      <c r="M79" s="3">
        <f t="shared" si="128"/>
        <v>17960.707000422866</v>
      </c>
      <c r="N79" s="3">
        <f t="shared" si="128"/>
        <v>16171.818602559753</v>
      </c>
      <c r="O79" s="3">
        <f t="shared" si="128"/>
        <v>15610.485387072607</v>
      </c>
      <c r="P79" s="3">
        <f t="shared" si="128"/>
        <v>221.15606050969654</v>
      </c>
      <c r="Q79" s="3">
        <f t="shared" si="128"/>
        <v>-3191.2875197293506</v>
      </c>
      <c r="R79" s="3">
        <f>SUM(F79:Q79)</f>
        <v>60534.967446786701</v>
      </c>
      <c r="S79" s="3">
        <f>S72+S77</f>
        <v>-13298.694169750648</v>
      </c>
      <c r="T79" s="3">
        <f t="shared" ref="T79:AD79" si="129">T72+T77</f>
        <v>-11315.555492750143</v>
      </c>
      <c r="U79" s="3">
        <f t="shared" si="129"/>
        <v>2770.67791204069</v>
      </c>
      <c r="V79" s="3">
        <f t="shared" si="129"/>
        <v>11555.981956894007</v>
      </c>
      <c r="W79" s="3">
        <f t="shared" si="129"/>
        <v>18840.049993832043</v>
      </c>
      <c r="X79" s="3">
        <f t="shared" si="129"/>
        <v>11555.981956894007</v>
      </c>
      <c r="Y79" s="3">
        <f t="shared" si="129"/>
        <v>8127.1352726378027</v>
      </c>
      <c r="Z79" s="3">
        <f t="shared" si="129"/>
        <v>21518.278674130583</v>
      </c>
      <c r="AA79" s="3">
        <f t="shared" si="129"/>
        <v>19327.811996470464</v>
      </c>
      <c r="AB79" s="3">
        <f t="shared" si="129"/>
        <v>18840.049993832043</v>
      </c>
      <c r="AC79" s="3">
        <f t="shared" si="129"/>
        <v>1193.541904125399</v>
      </c>
      <c r="AD79" s="3">
        <f t="shared" si="129"/>
        <v>-2585.7794485564264</v>
      </c>
      <c r="AE79" s="3">
        <f>SUM(S79:AD79)</f>
        <v>86529.480549799831</v>
      </c>
      <c r="AF79" s="3">
        <f>AF72+AF77</f>
        <v>-14068.483642473915</v>
      </c>
      <c r="AG79" s="3">
        <f t="shared" ref="AG79:AQ79" si="130">AG72+AG77</f>
        <v>-11793.684725578223</v>
      </c>
      <c r="AH79" s="3">
        <f t="shared" si="130"/>
        <v>4346.6522529558242</v>
      </c>
      <c r="AI79" s="3">
        <f t="shared" si="130"/>
        <v>14415.649679481779</v>
      </c>
      <c r="AJ79" s="3">
        <f t="shared" si="130"/>
        <v>22761.788148385505</v>
      </c>
      <c r="AK79" s="3">
        <f t="shared" si="130"/>
        <v>14415.649679481779</v>
      </c>
      <c r="AL79" s="3">
        <f t="shared" si="130"/>
        <v>10485.030884765707</v>
      </c>
      <c r="AM79" s="3">
        <f t="shared" si="130"/>
        <v>25830.977464290463</v>
      </c>
      <c r="AN79" s="3">
        <f t="shared" si="130"/>
        <v>23322.159467592897</v>
      </c>
      <c r="AO79" s="3">
        <f t="shared" si="130"/>
        <v>22761.788148385505</v>
      </c>
      <c r="AP79" s="3">
        <f t="shared" si="130"/>
        <v>2540.3032953335533</v>
      </c>
      <c r="AQ79" s="3">
        <f t="shared" si="130"/>
        <v>-1791.7263788540949</v>
      </c>
      <c r="AR79" s="3">
        <f>SUM(AF79:AQ79)</f>
        <v>113226.10427376677</v>
      </c>
      <c r="AS79" s="3">
        <f>AS72+AS77</f>
        <v>-14673.849634259954</v>
      </c>
      <c r="AT79" s="3">
        <f t="shared" ref="AT79:BD79" si="131">AT72+AT77</f>
        <v>-12288.254597525483</v>
      </c>
      <c r="AU79" s="3">
        <f t="shared" si="131"/>
        <v>4638.7429862767312</v>
      </c>
      <c r="AV79" s="3">
        <f t="shared" si="131"/>
        <v>15198.412826571057</v>
      </c>
      <c r="AW79" s="3">
        <f t="shared" si="131"/>
        <v>23951.335606813427</v>
      </c>
      <c r="AX79" s="3">
        <f t="shared" si="131"/>
        <v>15198.412826571057</v>
      </c>
      <c r="AY79" s="3">
        <f t="shared" si="131"/>
        <v>11076.273859788973</v>
      </c>
      <c r="AZ79" s="3">
        <f t="shared" si="131"/>
        <v>27170.101043569561</v>
      </c>
      <c r="BA79" s="3">
        <f t="shared" si="131"/>
        <v>24538.973876830743</v>
      </c>
      <c r="BB79" s="3">
        <f t="shared" si="131"/>
        <v>23951.335606813427</v>
      </c>
      <c r="BC79" s="3">
        <f t="shared" si="131"/>
        <v>2744.3314262248059</v>
      </c>
      <c r="BD79" s="3">
        <f t="shared" si="131"/>
        <v>-1798.7878872355068</v>
      </c>
      <c r="BE79" s="3">
        <f>SUM(AS79:BD79)</f>
        <v>119707.02794043884</v>
      </c>
      <c r="BF79" s="3">
        <f>BF72+BF77</f>
        <v>-15005.098816949816</v>
      </c>
      <c r="BG79" s="3">
        <f t="shared" ref="BG79:BQ79" si="132">BG72+BG77</f>
        <v>-12393.194290183346</v>
      </c>
      <c r="BH79" s="3">
        <f t="shared" si="132"/>
        <v>6120.252426286941</v>
      </c>
      <c r="BI79" s="3">
        <f t="shared" si="132"/>
        <v>17672.460366932923</v>
      </c>
      <c r="BJ79" s="3">
        <f t="shared" si="132"/>
        <v>27245.603669523691</v>
      </c>
      <c r="BK79" s="3">
        <f t="shared" si="132"/>
        <v>17672.460366932923</v>
      </c>
      <c r="BL79" s="3">
        <f t="shared" si="132"/>
        <v>13162.036174032502</v>
      </c>
      <c r="BM79" s="3">
        <f t="shared" si="132"/>
        <v>30766.495543396457</v>
      </c>
      <c r="BN79" s="3">
        <f t="shared" si="132"/>
        <v>27889.950594708731</v>
      </c>
      <c r="BO79" s="3">
        <f t="shared" si="132"/>
        <v>27245.603669523691</v>
      </c>
      <c r="BP79" s="3">
        <f t="shared" si="132"/>
        <v>4049.1400632317818</v>
      </c>
      <c r="BQ79" s="3">
        <f t="shared" si="132"/>
        <v>-921.53132145863492</v>
      </c>
      <c r="BR79" s="3">
        <f>SUM(BF79:BQ79)</f>
        <v>143504.17844597786</v>
      </c>
      <c r="BS79" s="37">
        <f>BS66+BS77</f>
        <v>966597.47452310799</v>
      </c>
    </row>
    <row r="80" spans="1:72" ht="15.75" customHeight="1">
      <c r="A80" s="2"/>
      <c r="B80" s="23"/>
      <c r="C80" s="24"/>
      <c r="D80" s="24"/>
      <c r="E80" s="2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7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7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7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7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7"/>
      <c r="BS80" s="37"/>
    </row>
    <row r="81" spans="1:71" ht="15.75" customHeight="1">
      <c r="A81" s="2"/>
      <c r="B81" s="23" t="s">
        <v>73</v>
      </c>
      <c r="C81" s="24"/>
      <c r="D81" s="24"/>
      <c r="E81" s="21"/>
      <c r="F81" s="3">
        <f>IF($R$79&gt;0, F79*Assumptions!$C$50, 0)</f>
        <v>-4398.043493282591</v>
      </c>
      <c r="G81" s="3">
        <f>IF($R$79&gt;0, G79*Assumptions!$C$50, 0)</f>
        <v>-2661.6547197847622</v>
      </c>
      <c r="H81" s="3">
        <f>IF($R$79&gt;0, H79*Assumptions!$C$50, 0)</f>
        <v>377.28892674278359</v>
      </c>
      <c r="I81" s="3">
        <f>IF($R$79&gt;0, I79*Assumptions!$C$50, 0)</f>
        <v>2333.9550925631474</v>
      </c>
      <c r="J81" s="3">
        <f>IF($R$79&gt;0, J79*Assumptions!$C$50, 0)</f>
        <v>3902.6213467681519</v>
      </c>
      <c r="K81" s="3">
        <f>IF($R$79&gt;0, K79*Assumptions!$C$50, 0)</f>
        <v>2333.9550925631474</v>
      </c>
      <c r="L81" s="3">
        <f>IF($R$79&gt;0, L79*Assumptions!$C$50, 0)</f>
        <v>1552.3997334179057</v>
      </c>
      <c r="M81" s="3">
        <f>IF($R$79&gt;0, M79*Assumptions!$C$50, 0)</f>
        <v>4490.1767501057166</v>
      </c>
      <c r="N81" s="3">
        <f>IF($R$79&gt;0, N79*Assumptions!$C$50, 0)</f>
        <v>4042.9546506399383</v>
      </c>
      <c r="O81" s="3">
        <f>IF($R$79&gt;0, O79*Assumptions!$C$50, 0)</f>
        <v>3902.6213467681519</v>
      </c>
      <c r="P81" s="3">
        <f>IF($R$79&gt;0, P79*Assumptions!$C$50, 0)</f>
        <v>55.289015127424136</v>
      </c>
      <c r="Q81" s="3">
        <f>IF($R$79&gt;0, Q79*Assumptions!$C$50, 0)</f>
        <v>-797.82187993233765</v>
      </c>
      <c r="R81" s="3">
        <f>SUM(F81:Q81)</f>
        <v>15133.741861696675</v>
      </c>
      <c r="S81" s="3">
        <f>IF($AE$79&gt;0, S79*Assumptions!$C$50, 0)</f>
        <v>-3324.673542437662</v>
      </c>
      <c r="T81" s="3">
        <f>IF($AE$79&gt;0, T79*Assumptions!$C$50, 0)</f>
        <v>-2828.8888731875359</v>
      </c>
      <c r="U81" s="3">
        <f>IF($AE$79&gt;0, U79*Assumptions!$C$50, 0)</f>
        <v>692.6694780101725</v>
      </c>
      <c r="V81" s="3">
        <f>IF($AE$79&gt;0, V79*Assumptions!$C$50, 0)</f>
        <v>2888.9954892235019</v>
      </c>
      <c r="W81" s="3">
        <f>IF($AE$79&gt;0, W79*Assumptions!$C$50, 0)</f>
        <v>4710.0124984580107</v>
      </c>
      <c r="X81" s="3">
        <f>IF($AE$79&gt;0, X79*Assumptions!$C$50, 0)</f>
        <v>2888.9954892235019</v>
      </c>
      <c r="Y81" s="3">
        <f>IF($AE$79&gt;0, Y79*Assumptions!$C$50, 0)</f>
        <v>2031.7838181594507</v>
      </c>
      <c r="Z81" s="3">
        <f>IF($AE$79&gt;0, Z79*Assumptions!$C$50, 0)</f>
        <v>5379.5696685326457</v>
      </c>
      <c r="AA81" s="3">
        <f>IF($AE$79&gt;0, AA79*Assumptions!$C$50, 0)</f>
        <v>4831.9529991176159</v>
      </c>
      <c r="AB81" s="3">
        <f>IF($AE$79&gt;0, AB79*Assumptions!$C$50, 0)</f>
        <v>4710.0124984580107</v>
      </c>
      <c r="AC81" s="3">
        <f>IF($AE$79&gt;0, AC79*Assumptions!$C$50, 0)</f>
        <v>298.38547603134975</v>
      </c>
      <c r="AD81" s="3">
        <f>IF($AE$79&gt;0, AD79*Assumptions!$C$50, 0)</f>
        <v>-646.44486213910659</v>
      </c>
      <c r="AE81" s="3">
        <f>SUM(S81:AD81)</f>
        <v>21632.370137449958</v>
      </c>
      <c r="AF81" s="3">
        <f>IF($AR$79&gt;0, AF79*Assumptions!$C$50, 0)</f>
        <v>-3517.1209106184788</v>
      </c>
      <c r="AG81" s="3">
        <f>IF($AR$79&gt;0, AG79*Assumptions!$C$50, 0)</f>
        <v>-2948.4211813945558</v>
      </c>
      <c r="AH81" s="3">
        <f>IF($AR$79&gt;0, AH79*Assumptions!$C$50, 0)</f>
        <v>1086.6630632389561</v>
      </c>
      <c r="AI81" s="3">
        <f>IF($AR$79&gt;0, AI79*Assumptions!$C$50, 0)</f>
        <v>3603.9124198704449</v>
      </c>
      <c r="AJ81" s="3">
        <f>IF($AR$79&gt;0, AJ79*Assumptions!$C$50, 0)</f>
        <v>5690.4470370963763</v>
      </c>
      <c r="AK81" s="3">
        <f>IF($AR$79&gt;0, AK79*Assumptions!$C$50, 0)</f>
        <v>3603.9124198704449</v>
      </c>
      <c r="AL81" s="3">
        <f>IF($AR$79&gt;0, AL79*Assumptions!$C$50, 0)</f>
        <v>2621.2577211914268</v>
      </c>
      <c r="AM81" s="3">
        <f>IF($AR$79&gt;0, AM79*Assumptions!$C$50, 0)</f>
        <v>6457.7443660726158</v>
      </c>
      <c r="AN81" s="3">
        <f>IF($AR$79&gt;0, AN79*Assumptions!$C$50, 0)</f>
        <v>5830.5398668982243</v>
      </c>
      <c r="AO81" s="3">
        <f>IF($AR$79&gt;0, AO79*Assumptions!$C$50, 0)</f>
        <v>5690.4470370963763</v>
      </c>
      <c r="AP81" s="3">
        <f>IF($AR$79&gt;0, AP79*Assumptions!$C$50, 0)</f>
        <v>635.07582383338831</v>
      </c>
      <c r="AQ81" s="3">
        <f>IF($AR$79&gt;0, AQ79*Assumptions!$C$50, 0)</f>
        <v>-447.93159471352374</v>
      </c>
      <c r="AR81" s="3">
        <f>SUM(AF81:AQ81)</f>
        <v>28306.526068441693</v>
      </c>
      <c r="AS81" s="3">
        <f>IF($BE$79&gt;0, AS79*Assumptions!$C$50, 0)</f>
        <v>-3668.4624085649884</v>
      </c>
      <c r="AT81" s="3">
        <f>IF($BE$79&gt;0, AT79*Assumptions!$C$50, 0)</f>
        <v>-3072.0636493813709</v>
      </c>
      <c r="AU81" s="3">
        <f>IF($BE$79&gt;0, AU79*Assumptions!$C$50, 0)</f>
        <v>1159.6857465691828</v>
      </c>
      <c r="AV81" s="3">
        <f>IF($BE$79&gt;0, AV79*Assumptions!$C$50, 0)</f>
        <v>3799.6032066427642</v>
      </c>
      <c r="AW81" s="3">
        <f>IF($BE$79&gt;0, AW79*Assumptions!$C$50, 0)</f>
        <v>5987.8339017033568</v>
      </c>
      <c r="AX81" s="3">
        <f>IF($BE$79&gt;0, AX79*Assumptions!$C$50, 0)</f>
        <v>3799.6032066427642</v>
      </c>
      <c r="AY81" s="3">
        <f>IF($BE$79&gt;0, AY79*Assumptions!$C$50, 0)</f>
        <v>2769.0684649472432</v>
      </c>
      <c r="AZ81" s="3">
        <f>IF($BE$79&gt;0, AZ79*Assumptions!$C$50, 0)</f>
        <v>6792.5252608923902</v>
      </c>
      <c r="BA81" s="3">
        <f>IF($BE$79&gt;0, BA79*Assumptions!$C$50, 0)</f>
        <v>6134.7434692076858</v>
      </c>
      <c r="BB81" s="3">
        <f>IF($BE$79&gt;0, BB79*Assumptions!$C$50, 0)</f>
        <v>5987.8339017033568</v>
      </c>
      <c r="BC81" s="3">
        <f>IF($BE$79&gt;0, BC79*Assumptions!$C$50, 0)</f>
        <v>686.08285655620148</v>
      </c>
      <c r="BD81" s="3">
        <f>IF($BE$79&gt;0, BD79*Assumptions!$C$50, 0)</f>
        <v>-449.6969718088767</v>
      </c>
      <c r="BE81" s="3">
        <f>SUM(AS81:BD81)</f>
        <v>29926.756985109711</v>
      </c>
      <c r="BF81" s="3">
        <f>IF($BR$79&gt;0, BF79*Assumptions!$C$50, 0)</f>
        <v>-3751.274704237454</v>
      </c>
      <c r="BG81" s="3">
        <f>IF($BR$79&gt;0, BG79*Assumptions!$C$50, 0)</f>
        <v>-3098.2985725458366</v>
      </c>
      <c r="BH81" s="3">
        <f>IF($BR$79&gt;0, BH79*Assumptions!$C$50, 0)</f>
        <v>1530.0631065717353</v>
      </c>
      <c r="BI81" s="3">
        <f>IF($BR$79&gt;0, BI79*Assumptions!$C$50, 0)</f>
        <v>4418.1150917332307</v>
      </c>
      <c r="BJ81" s="3">
        <f>IF($BR$79&gt;0, BJ79*Assumptions!$C$50, 0)</f>
        <v>6811.4009173809227</v>
      </c>
      <c r="BK81" s="3">
        <f>IF($BR$79&gt;0, BK79*Assumptions!$C$50, 0)</f>
        <v>4418.1150917332307</v>
      </c>
      <c r="BL81" s="3">
        <f>IF($BR$79&gt;0, BL79*Assumptions!$C$50, 0)</f>
        <v>3290.5090435081256</v>
      </c>
      <c r="BM81" s="3">
        <f>IF($BR$79&gt;0, BM79*Assumptions!$C$50, 0)</f>
        <v>7691.6238858491142</v>
      </c>
      <c r="BN81" s="3">
        <f>IF($BR$79&gt;0, BN79*Assumptions!$C$50, 0)</f>
        <v>6972.4876486771827</v>
      </c>
      <c r="BO81" s="3">
        <f>IF($BR$79&gt;0, BO79*Assumptions!$C$50, 0)</f>
        <v>6811.4009173809227</v>
      </c>
      <c r="BP81" s="3">
        <f>IF($BR$79&gt;0, BP79*Assumptions!$C$50, 0)</f>
        <v>1012.2850158079455</v>
      </c>
      <c r="BQ81" s="3">
        <f>IF($BR$79&gt;0, BQ79*Assumptions!$C$50, 0)</f>
        <v>-230.38283036465873</v>
      </c>
      <c r="BR81" s="3">
        <f>SUM(BF81:BQ81)</f>
        <v>35876.044611494464</v>
      </c>
      <c r="BS81" s="37">
        <f>R81+AE81+AR81+BE81+BR81</f>
        <v>130875.4396641925</v>
      </c>
    </row>
    <row r="82" spans="1:71" ht="15.75" customHeight="1">
      <c r="A82" s="2"/>
      <c r="B82" s="28"/>
      <c r="C82" s="24"/>
      <c r="D82" s="24"/>
      <c r="E82" s="2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7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7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7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7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7"/>
      <c r="BS82" s="37"/>
    </row>
    <row r="83" spans="1:71" ht="15.75" customHeight="1">
      <c r="A83" s="2"/>
      <c r="B83" s="23" t="s">
        <v>74</v>
      </c>
      <c r="C83" s="24"/>
      <c r="D83" s="24"/>
      <c r="E83" s="21"/>
      <c r="F83" s="19">
        <f t="shared" ref="F83:BS83" si="133">F79-F81</f>
        <v>-13194.130479847772</v>
      </c>
      <c r="G83" s="19">
        <f t="shared" si="133"/>
        <v>-7984.9641593542865</v>
      </c>
      <c r="H83" s="19">
        <f t="shared" si="133"/>
        <v>1131.8667802283508</v>
      </c>
      <c r="I83" s="19">
        <f t="shared" si="133"/>
        <v>7001.8652776894423</v>
      </c>
      <c r="J83" s="19">
        <f t="shared" si="133"/>
        <v>11707.864040304456</v>
      </c>
      <c r="K83" s="19">
        <f t="shared" si="133"/>
        <v>7001.8652776894423</v>
      </c>
      <c r="L83" s="19">
        <f t="shared" si="133"/>
        <v>4657.1992002537172</v>
      </c>
      <c r="M83" s="19">
        <f t="shared" si="133"/>
        <v>13470.53025031715</v>
      </c>
      <c r="N83" s="19">
        <f t="shared" si="133"/>
        <v>12128.863951919815</v>
      </c>
      <c r="O83" s="19">
        <f t="shared" si="133"/>
        <v>11707.864040304456</v>
      </c>
      <c r="P83" s="19">
        <f t="shared" si="133"/>
        <v>165.86704538227241</v>
      </c>
      <c r="Q83" s="19">
        <f t="shared" si="133"/>
        <v>-2393.465639797013</v>
      </c>
      <c r="R83" s="19">
        <f t="shared" si="133"/>
        <v>45401.225585090026</v>
      </c>
      <c r="S83" s="19">
        <f t="shared" si="133"/>
        <v>-9974.0206273129861</v>
      </c>
      <c r="T83" s="19">
        <f t="shared" si="133"/>
        <v>-8486.6666195626076</v>
      </c>
      <c r="U83" s="19">
        <f t="shared" si="133"/>
        <v>2078.0084340305175</v>
      </c>
      <c r="V83" s="19">
        <f t="shared" si="133"/>
        <v>8666.9864676705056</v>
      </c>
      <c r="W83" s="19">
        <f t="shared" si="133"/>
        <v>14130.037495374032</v>
      </c>
      <c r="X83" s="19">
        <f t="shared" si="133"/>
        <v>8666.9864676705056</v>
      </c>
      <c r="Y83" s="19">
        <f t="shared" si="133"/>
        <v>6095.351454478352</v>
      </c>
      <c r="Z83" s="19">
        <f t="shared" si="133"/>
        <v>16138.709005597937</v>
      </c>
      <c r="AA83" s="19">
        <f t="shared" si="133"/>
        <v>14495.858997352847</v>
      </c>
      <c r="AB83" s="19">
        <f t="shared" si="133"/>
        <v>14130.037495374032</v>
      </c>
      <c r="AC83" s="19">
        <f t="shared" si="133"/>
        <v>895.15642809404926</v>
      </c>
      <c r="AD83" s="19">
        <f t="shared" si="133"/>
        <v>-1939.3345864173198</v>
      </c>
      <c r="AE83" s="19">
        <f t="shared" si="133"/>
        <v>64897.110412349874</v>
      </c>
      <c r="AF83" s="19">
        <f t="shared" ref="AF83:AR83" si="134">AF79-AF81</f>
        <v>-10551.362731855435</v>
      </c>
      <c r="AG83" s="19">
        <f t="shared" si="134"/>
        <v>-8845.2635441836683</v>
      </c>
      <c r="AH83" s="19">
        <f t="shared" si="134"/>
        <v>3259.9891897168682</v>
      </c>
      <c r="AI83" s="19">
        <f t="shared" si="134"/>
        <v>10811.737259611335</v>
      </c>
      <c r="AJ83" s="19">
        <f t="shared" si="134"/>
        <v>17071.34111128913</v>
      </c>
      <c r="AK83" s="19">
        <f t="shared" si="134"/>
        <v>10811.737259611335</v>
      </c>
      <c r="AL83" s="19">
        <f t="shared" si="134"/>
        <v>7863.7731635742803</v>
      </c>
      <c r="AM83" s="19">
        <f t="shared" si="134"/>
        <v>19373.233098217846</v>
      </c>
      <c r="AN83" s="19">
        <f t="shared" si="134"/>
        <v>17491.619600694674</v>
      </c>
      <c r="AO83" s="19">
        <f t="shared" si="134"/>
        <v>17071.34111128913</v>
      </c>
      <c r="AP83" s="19">
        <f t="shared" si="134"/>
        <v>1905.2274715001649</v>
      </c>
      <c r="AQ83" s="19">
        <f t="shared" si="134"/>
        <v>-1343.7947841405712</v>
      </c>
      <c r="AR83" s="19">
        <f t="shared" si="134"/>
        <v>84919.578205325088</v>
      </c>
      <c r="AS83" s="19">
        <f t="shared" si="133"/>
        <v>-11005.387225694965</v>
      </c>
      <c r="AT83" s="19">
        <f t="shared" si="133"/>
        <v>-9216.1909481441126</v>
      </c>
      <c r="AU83" s="19">
        <f t="shared" si="133"/>
        <v>3479.0572397075484</v>
      </c>
      <c r="AV83" s="19">
        <f t="shared" si="133"/>
        <v>11398.809619928292</v>
      </c>
      <c r="AW83" s="19">
        <f t="shared" si="133"/>
        <v>17963.501705110069</v>
      </c>
      <c r="AX83" s="19">
        <f t="shared" si="133"/>
        <v>11398.809619928292</v>
      </c>
      <c r="AY83" s="19">
        <f t="shared" si="133"/>
        <v>8307.2053948417306</v>
      </c>
      <c r="AZ83" s="19">
        <f t="shared" si="133"/>
        <v>20377.57578267717</v>
      </c>
      <c r="BA83" s="19">
        <f t="shared" si="133"/>
        <v>18404.230407623058</v>
      </c>
      <c r="BB83" s="19">
        <f t="shared" si="133"/>
        <v>17963.501705110069</v>
      </c>
      <c r="BC83" s="19">
        <f t="shared" si="133"/>
        <v>2058.2485696686044</v>
      </c>
      <c r="BD83" s="19">
        <f t="shared" si="133"/>
        <v>-1349.0909154266301</v>
      </c>
      <c r="BE83" s="19">
        <f t="shared" si="133"/>
        <v>89780.270955329135</v>
      </c>
      <c r="BF83" s="19">
        <f t="shared" si="133"/>
        <v>-11253.824112712362</v>
      </c>
      <c r="BG83" s="19">
        <f t="shared" si="133"/>
        <v>-9294.8957176375097</v>
      </c>
      <c r="BH83" s="19">
        <f t="shared" si="133"/>
        <v>4590.1893197152058</v>
      </c>
      <c r="BI83" s="19">
        <f t="shared" si="133"/>
        <v>13254.345275199692</v>
      </c>
      <c r="BJ83" s="19">
        <f t="shared" si="133"/>
        <v>20434.202752142766</v>
      </c>
      <c r="BK83" s="19">
        <f t="shared" si="133"/>
        <v>13254.345275199692</v>
      </c>
      <c r="BL83" s="19">
        <f t="shared" si="133"/>
        <v>9871.5271305243768</v>
      </c>
      <c r="BM83" s="19">
        <f t="shared" si="133"/>
        <v>23074.871657547345</v>
      </c>
      <c r="BN83" s="19">
        <f t="shared" si="133"/>
        <v>20917.462946031548</v>
      </c>
      <c r="BO83" s="19">
        <f t="shared" si="133"/>
        <v>20434.202752142766</v>
      </c>
      <c r="BP83" s="19">
        <f t="shared" si="133"/>
        <v>3036.8550474238364</v>
      </c>
      <c r="BQ83" s="19">
        <f t="shared" si="133"/>
        <v>-691.14849109397619</v>
      </c>
      <c r="BR83" s="19">
        <f t="shared" si="133"/>
        <v>107628.13383448339</v>
      </c>
      <c r="BS83" s="44">
        <f t="shared" si="133"/>
        <v>835722.03485891549</v>
      </c>
    </row>
    <row r="84" spans="1:71" ht="15.75" customHeight="1">
      <c r="A84" s="2"/>
      <c r="B84" s="28"/>
      <c r="C84" s="24"/>
      <c r="D84" s="24"/>
      <c r="E84" s="2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7"/>
    </row>
    <row r="85" spans="1:71" ht="15.75" customHeight="1">
      <c r="A85" s="2" t="s">
        <v>95</v>
      </c>
      <c r="B85" s="2"/>
      <c r="C85" s="2"/>
      <c r="D85" s="2"/>
      <c r="E85" s="2"/>
      <c r="F85" s="3"/>
      <c r="G85" s="3">
        <f>G83+F83</f>
        <v>-21179.09463920206</v>
      </c>
      <c r="H85" s="3">
        <f t="shared" ref="H85:Q85" si="135">H83+G85</f>
        <v>-20047.227858973711</v>
      </c>
      <c r="I85" s="3">
        <f t="shared" si="135"/>
        <v>-13045.362581284269</v>
      </c>
      <c r="J85" s="3">
        <f t="shared" si="135"/>
        <v>-1337.4985409798137</v>
      </c>
      <c r="K85" s="3">
        <f t="shared" si="135"/>
        <v>5664.3667367096286</v>
      </c>
      <c r="L85" s="3">
        <f t="shared" si="135"/>
        <v>10321.565936963347</v>
      </c>
      <c r="M85" s="3">
        <f t="shared" si="135"/>
        <v>23792.096187280498</v>
      </c>
      <c r="N85" s="3">
        <f t="shared" si="135"/>
        <v>35920.96013920031</v>
      </c>
      <c r="O85" s="3">
        <f t="shared" si="135"/>
        <v>47628.824179504765</v>
      </c>
      <c r="P85" s="3">
        <f t="shared" si="135"/>
        <v>47794.691224887036</v>
      </c>
      <c r="Q85" s="3">
        <f t="shared" si="135"/>
        <v>45401.225585090026</v>
      </c>
      <c r="R85" s="3"/>
      <c r="S85" s="3">
        <f>S83+Q85</f>
        <v>35427.204957777038</v>
      </c>
      <c r="T85" s="3">
        <f t="shared" ref="T85:AD85" si="136">T83+S85</f>
        <v>26940.538338214428</v>
      </c>
      <c r="U85" s="3">
        <f t="shared" si="136"/>
        <v>29018.546772244947</v>
      </c>
      <c r="V85" s="3">
        <f t="shared" si="136"/>
        <v>37685.53323991545</v>
      </c>
      <c r="W85" s="3">
        <f t="shared" si="136"/>
        <v>51815.570735289482</v>
      </c>
      <c r="X85" s="3">
        <f t="shared" si="136"/>
        <v>60482.557202959986</v>
      </c>
      <c r="Y85" s="3">
        <f t="shared" si="136"/>
        <v>66577.90865743834</v>
      </c>
      <c r="Z85" s="3">
        <f t="shared" si="136"/>
        <v>82716.617663036275</v>
      </c>
      <c r="AA85" s="3">
        <f t="shared" si="136"/>
        <v>97212.476660389118</v>
      </c>
      <c r="AB85" s="3">
        <f t="shared" si="136"/>
        <v>111342.51415576314</v>
      </c>
      <c r="AC85" s="3">
        <f t="shared" si="136"/>
        <v>112237.67058385719</v>
      </c>
      <c r="AD85" s="3">
        <f t="shared" si="136"/>
        <v>110298.33599743988</v>
      </c>
      <c r="AE85" s="3"/>
      <c r="AF85" s="3">
        <f>AF83+AD85</f>
        <v>99746.973265584442</v>
      </c>
      <c r="AG85" s="3">
        <f t="shared" ref="AG85:AQ85" si="137">AG83+AF85</f>
        <v>90901.709721400781</v>
      </c>
      <c r="AH85" s="3">
        <f t="shared" si="137"/>
        <v>94161.698911117652</v>
      </c>
      <c r="AI85" s="3">
        <f t="shared" si="137"/>
        <v>104973.43617072899</v>
      </c>
      <c r="AJ85" s="3">
        <f t="shared" si="137"/>
        <v>122044.77728201813</v>
      </c>
      <c r="AK85" s="3">
        <f t="shared" si="137"/>
        <v>132856.51454162947</v>
      </c>
      <c r="AL85" s="3">
        <f t="shared" si="137"/>
        <v>140720.28770520375</v>
      </c>
      <c r="AM85" s="3">
        <f t="shared" si="137"/>
        <v>160093.52080342159</v>
      </c>
      <c r="AN85" s="3">
        <f t="shared" si="137"/>
        <v>177585.14040411628</v>
      </c>
      <c r="AO85" s="3">
        <f t="shared" si="137"/>
        <v>194656.48151540541</v>
      </c>
      <c r="AP85" s="3">
        <f t="shared" si="137"/>
        <v>196561.70898690558</v>
      </c>
      <c r="AQ85" s="3">
        <f t="shared" si="137"/>
        <v>195217.91420276501</v>
      </c>
      <c r="AR85" s="3"/>
      <c r="AS85" s="3">
        <f>AS83+AQ85</f>
        <v>184212.52697707005</v>
      </c>
      <c r="AT85" s="3">
        <f t="shared" ref="AT85:BD85" si="138">AT83+AS85</f>
        <v>174996.33602892593</v>
      </c>
      <c r="AU85" s="3">
        <f t="shared" si="138"/>
        <v>178475.39326863349</v>
      </c>
      <c r="AV85" s="3">
        <f t="shared" si="138"/>
        <v>189874.20288856179</v>
      </c>
      <c r="AW85" s="3">
        <f t="shared" si="138"/>
        <v>207837.70459367186</v>
      </c>
      <c r="AX85" s="3">
        <f t="shared" si="138"/>
        <v>219236.51421360017</v>
      </c>
      <c r="AY85" s="3">
        <f t="shared" si="138"/>
        <v>227543.7196084419</v>
      </c>
      <c r="AZ85" s="3">
        <f t="shared" si="138"/>
        <v>247921.29539111906</v>
      </c>
      <c r="BA85" s="3">
        <f t="shared" si="138"/>
        <v>266325.52579874214</v>
      </c>
      <c r="BB85" s="3">
        <f t="shared" si="138"/>
        <v>284289.02750385221</v>
      </c>
      <c r="BC85" s="3">
        <f t="shared" si="138"/>
        <v>286347.27607352083</v>
      </c>
      <c r="BD85" s="3">
        <f t="shared" si="138"/>
        <v>284998.18515809422</v>
      </c>
      <c r="BE85" s="3"/>
      <c r="BF85" s="3">
        <f>BF83+BD85</f>
        <v>273744.36104538187</v>
      </c>
      <c r="BG85" s="3">
        <f t="shared" ref="BG85:BQ85" si="139">BG83+BF85</f>
        <v>264449.46532774437</v>
      </c>
      <c r="BH85" s="3">
        <f t="shared" si="139"/>
        <v>269039.65464745957</v>
      </c>
      <c r="BI85" s="3">
        <f t="shared" si="139"/>
        <v>282293.99992265925</v>
      </c>
      <c r="BJ85" s="3">
        <f t="shared" si="139"/>
        <v>302728.20267480204</v>
      </c>
      <c r="BK85" s="3">
        <f t="shared" si="139"/>
        <v>315982.54795000172</v>
      </c>
      <c r="BL85" s="3">
        <f t="shared" si="139"/>
        <v>325854.07508052612</v>
      </c>
      <c r="BM85" s="3">
        <f t="shared" si="139"/>
        <v>348928.94673807349</v>
      </c>
      <c r="BN85" s="3">
        <f t="shared" si="139"/>
        <v>369846.40968410502</v>
      </c>
      <c r="BO85" s="3">
        <f t="shared" si="139"/>
        <v>390280.61243624776</v>
      </c>
      <c r="BP85" s="3">
        <f t="shared" si="139"/>
        <v>393317.46748367161</v>
      </c>
      <c r="BQ85" s="3">
        <f t="shared" si="139"/>
        <v>392626.31899257761</v>
      </c>
      <c r="BR85" s="3"/>
      <c r="BS85" s="37"/>
    </row>
    <row r="86" spans="1:71" ht="15.75" customHeight="1">
      <c r="A86" s="2" t="s">
        <v>115</v>
      </c>
      <c r="B86" s="2"/>
      <c r="C86" s="2"/>
      <c r="D86" s="2"/>
      <c r="E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7"/>
    </row>
    <row r="87" spans="1:71" ht="15.75" customHeight="1">
      <c r="A87" s="2"/>
      <c r="B87" s="2"/>
      <c r="C87" s="2"/>
      <c r="D87" s="2"/>
      <c r="E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7"/>
    </row>
    <row r="88" spans="1:71" ht="15.75" customHeight="1"/>
    <row r="89" spans="1:71" ht="15.75" customHeight="1"/>
    <row r="90" spans="1:71" ht="15.75" customHeight="1"/>
    <row r="91" spans="1:71" ht="15.75" customHeight="1"/>
    <row r="92" spans="1:71" ht="15.75" customHeight="1"/>
    <row r="93" spans="1:71" ht="15.75" customHeight="1"/>
    <row r="94" spans="1:71" ht="15.75" customHeight="1"/>
    <row r="95" spans="1:71" ht="15.75" customHeight="1"/>
    <row r="96" spans="1:7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</sheetData>
  <sheetProtection sheet="1" objects="1" scenarios="1"/>
  <protectedRanges>
    <protectedRange sqref="B14 B22:B24" name="Range1"/>
  </protectedRanges>
  <pageMargins left="0.7" right="0.7" top="0.75" bottom="0.75" header="0" footer="0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L1005"/>
  <sheetViews>
    <sheetView tabSelected="1" topLeftCell="A4" workbookViewId="0">
      <selection activeCell="B33" sqref="B33"/>
    </sheetView>
  </sheetViews>
  <sheetFormatPr defaultColWidth="14.453125" defaultRowHeight="15" customHeight="1"/>
  <cols>
    <col min="1" max="1" width="8.7265625" customWidth="1"/>
    <col min="2" max="2" width="30.26953125" customWidth="1"/>
    <col min="3" max="3" width="14.54296875" customWidth="1"/>
    <col min="4" max="4" width="7.81640625" customWidth="1"/>
    <col min="5" max="5" width="14.54296875" customWidth="1"/>
    <col min="6" max="6" width="7.81640625" customWidth="1"/>
    <col min="7" max="7" width="14.54296875" customWidth="1"/>
    <col min="8" max="8" width="7.81640625" customWidth="1"/>
    <col min="9" max="9" width="14.54296875" customWidth="1"/>
    <col min="10" max="10" width="7.81640625" customWidth="1"/>
    <col min="11" max="11" width="14.54296875" customWidth="1"/>
    <col min="12" max="12" width="7.81640625" customWidth="1"/>
    <col min="13" max="26" width="17.26953125" customWidth="1"/>
  </cols>
  <sheetData>
    <row r="1" spans="1:12" ht="14.5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4.5">
      <c r="A2" s="1" t="s">
        <v>661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customHeight="1">
      <c r="A3" s="6" t="s">
        <v>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</row>
    <row r="4" spans="1:12" ht="14.5"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4.5"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4.5"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 ht="14.5">
      <c r="B7" s="151" t="s">
        <v>281</v>
      </c>
      <c r="C7" s="140" t="s">
        <v>282</v>
      </c>
      <c r="D7" s="142"/>
      <c r="E7" s="140" t="s">
        <v>283</v>
      </c>
      <c r="F7" s="142"/>
      <c r="G7" s="140" t="s">
        <v>284</v>
      </c>
      <c r="H7" s="142"/>
      <c r="I7" s="140" t="s">
        <v>285</v>
      </c>
      <c r="J7" s="142"/>
      <c r="K7" s="140" t="s">
        <v>286</v>
      </c>
      <c r="L7" s="142"/>
    </row>
    <row r="8" spans="1:12" ht="14.5">
      <c r="B8" s="152"/>
      <c r="C8" s="62" t="s">
        <v>287</v>
      </c>
      <c r="D8" s="62" t="s">
        <v>243</v>
      </c>
      <c r="E8" s="62" t="s">
        <v>287</v>
      </c>
      <c r="F8" s="62" t="s">
        <v>243</v>
      </c>
      <c r="G8" s="62" t="s">
        <v>287</v>
      </c>
      <c r="H8" s="62" t="s">
        <v>243</v>
      </c>
      <c r="I8" s="62" t="s">
        <v>287</v>
      </c>
      <c r="J8" s="62" t="s">
        <v>243</v>
      </c>
      <c r="K8" s="62" t="s">
        <v>287</v>
      </c>
      <c r="L8" s="62" t="s">
        <v>243</v>
      </c>
    </row>
    <row r="9" spans="1:12" ht="14.5">
      <c r="B9" s="153" t="s">
        <v>572</v>
      </c>
      <c r="C9" s="154">
        <f>SOO!R16</f>
        <v>682555.07797715708</v>
      </c>
      <c r="D9" s="155">
        <f t="shared" ref="D9:D18" si="0">C9/C$9</f>
        <v>1</v>
      </c>
      <c r="E9" s="154">
        <f>SOO!AE16</f>
        <v>779145.6795000073</v>
      </c>
      <c r="F9" s="155">
        <f t="shared" ref="F9:F18" si="1">E9/E$9</f>
        <v>1</v>
      </c>
      <c r="G9" s="154">
        <f>SOO!AR16</f>
        <v>891342.65734800848</v>
      </c>
      <c r="H9" s="155">
        <f t="shared" ref="H9:H18" si="2">G9/G$9</f>
        <v>1</v>
      </c>
      <c r="I9" s="154">
        <f>SOO!BE16</f>
        <v>935909.79021540878</v>
      </c>
      <c r="J9" s="155">
        <f t="shared" ref="J9:J18" si="3">I9/I$9</f>
        <v>1</v>
      </c>
      <c r="K9" s="154">
        <f>SOO!BR16</f>
        <v>1022013.4909152266</v>
      </c>
      <c r="L9" s="155">
        <f t="shared" ref="L9:L18" si="4">K9/K$9</f>
        <v>1</v>
      </c>
    </row>
    <row r="10" spans="1:12" ht="14.5">
      <c r="B10" s="156" t="s">
        <v>653</v>
      </c>
      <c r="C10" s="129">
        <f>SOO!R27</f>
        <v>302757.75309798116</v>
      </c>
      <c r="D10" s="157">
        <f t="shared" si="0"/>
        <v>0.44356530757231211</v>
      </c>
      <c r="E10" s="129">
        <f>SOO!AE27</f>
        <v>338471.12790295982</v>
      </c>
      <c r="F10" s="157">
        <f t="shared" si="1"/>
        <v>0.43441314866837638</v>
      </c>
      <c r="G10" s="129">
        <f>SOO!AR27</f>
        <v>402358.72803619021</v>
      </c>
      <c r="H10" s="157">
        <f t="shared" si="2"/>
        <v>0.45140746347013055</v>
      </c>
      <c r="I10" s="129">
        <f>SOO!BE27</f>
        <v>425682.54594101605</v>
      </c>
      <c r="J10" s="157">
        <f t="shared" si="3"/>
        <v>0.45483288068077699</v>
      </c>
      <c r="K10" s="129">
        <f>SOO!BR27</f>
        <v>450038.80267785903</v>
      </c>
      <c r="L10" s="157">
        <f t="shared" si="4"/>
        <v>0.44034526616164654</v>
      </c>
    </row>
    <row r="11" spans="1:12" ht="14.5">
      <c r="B11" s="156" t="s">
        <v>288</v>
      </c>
      <c r="C11" s="129">
        <f>C9-C10</f>
        <v>379797.32487917593</v>
      </c>
      <c r="D11" s="157">
        <f t="shared" si="0"/>
        <v>0.55643469242768784</v>
      </c>
      <c r="E11" s="129">
        <f>E9-E10</f>
        <v>440674.55159704748</v>
      </c>
      <c r="F11" s="157">
        <f t="shared" si="1"/>
        <v>0.56558685133162356</v>
      </c>
      <c r="G11" s="129">
        <f>G9-G10</f>
        <v>488983.92931181827</v>
      </c>
      <c r="H11" s="157">
        <f t="shared" si="2"/>
        <v>0.5485925365298695</v>
      </c>
      <c r="I11" s="129">
        <f>I9-I10</f>
        <v>510227.24427439272</v>
      </c>
      <c r="J11" s="157">
        <f t="shared" si="3"/>
        <v>0.54516711931922301</v>
      </c>
      <c r="K11" s="129">
        <f>K9-K10</f>
        <v>571974.68823736766</v>
      </c>
      <c r="L11" s="157">
        <f t="shared" si="4"/>
        <v>0.55965473383835351</v>
      </c>
    </row>
    <row r="12" spans="1:12" ht="14.5">
      <c r="B12" s="156" t="s">
        <v>573</v>
      </c>
      <c r="C12" s="129">
        <f>SOO!R64</f>
        <v>304802.35743238928</v>
      </c>
      <c r="D12" s="157">
        <f t="shared" si="0"/>
        <v>0.4465608230997441</v>
      </c>
      <c r="E12" s="129">
        <f>SOO!AE64</f>
        <v>339685.07104724768</v>
      </c>
      <c r="F12" s="157">
        <f t="shared" si="1"/>
        <v>0.43597119253132494</v>
      </c>
      <c r="G12" s="129">
        <f>SOO!AR64</f>
        <v>361297.82503805129</v>
      </c>
      <c r="H12" s="157">
        <f t="shared" si="2"/>
        <v>0.40534111327400452</v>
      </c>
      <c r="I12" s="129">
        <f>SOO!BE64</f>
        <v>376060.2163339539</v>
      </c>
      <c r="J12" s="157">
        <f t="shared" si="3"/>
        <v>0.40181246127086667</v>
      </c>
      <c r="K12" s="129">
        <f>SOO!BR64</f>
        <v>414010.50979138969</v>
      </c>
      <c r="L12" s="157">
        <f t="shared" si="4"/>
        <v>0.40509299874372284</v>
      </c>
    </row>
    <row r="13" spans="1:12" ht="14.5">
      <c r="B13" s="156" t="s">
        <v>289</v>
      </c>
      <c r="C13" s="129">
        <f>C11-C12</f>
        <v>74994.967446786643</v>
      </c>
      <c r="D13" s="157">
        <f t="shared" si="0"/>
        <v>0.1098738693279438</v>
      </c>
      <c r="E13" s="129">
        <f>E11-E12</f>
        <v>100989.4805497998</v>
      </c>
      <c r="F13" s="157">
        <f t="shared" si="1"/>
        <v>0.12961565880029866</v>
      </c>
      <c r="G13" s="129">
        <f>G11-G12</f>
        <v>127686.10427376698</v>
      </c>
      <c r="H13" s="157">
        <f t="shared" si="2"/>
        <v>0.14325142325586496</v>
      </c>
      <c r="I13" s="129">
        <f>I11-I12</f>
        <v>134167.02794043883</v>
      </c>
      <c r="J13" s="157">
        <f t="shared" si="3"/>
        <v>0.14335465804835631</v>
      </c>
      <c r="K13" s="129">
        <f>K11-K12</f>
        <v>157964.17844597797</v>
      </c>
      <c r="L13" s="157">
        <f t="shared" si="4"/>
        <v>0.15456173509463067</v>
      </c>
    </row>
    <row r="14" spans="1:12" ht="14.5">
      <c r="B14" s="156" t="s">
        <v>642</v>
      </c>
      <c r="C14" s="129">
        <f>SOO!R70</f>
        <v>14460</v>
      </c>
      <c r="D14" s="157">
        <f t="shared" si="0"/>
        <v>2.1185103541906298E-2</v>
      </c>
      <c r="E14" s="129">
        <f>SOO!AE70</f>
        <v>14460</v>
      </c>
      <c r="F14" s="157">
        <f t="shared" si="1"/>
        <v>1.8558788658469182E-2</v>
      </c>
      <c r="G14" s="129">
        <f>SOO!AR70</f>
        <v>14460</v>
      </c>
      <c r="H14" s="157">
        <f t="shared" si="2"/>
        <v>1.6222717358801729E-2</v>
      </c>
      <c r="I14" s="129">
        <f>SOO!BE70</f>
        <v>14460</v>
      </c>
      <c r="J14" s="157">
        <f t="shared" si="3"/>
        <v>1.5450207008382602E-2</v>
      </c>
      <c r="K14" s="129">
        <f>SOO!BR70</f>
        <v>14460</v>
      </c>
      <c r="L14" s="157">
        <f t="shared" si="4"/>
        <v>1.4148541216467581E-2</v>
      </c>
    </row>
    <row r="15" spans="1:12" ht="14.5">
      <c r="B15" s="333" t="s">
        <v>556</v>
      </c>
      <c r="C15" s="334">
        <f>C13-C14</f>
        <v>60534.967446786643</v>
      </c>
      <c r="D15" s="335">
        <f>C15/C9</f>
        <v>8.8688765786037488E-2</v>
      </c>
      <c r="E15" s="334">
        <f>E13-E14</f>
        <v>86529.480549799802</v>
      </c>
      <c r="F15" s="335">
        <f>E15/E9</f>
        <v>0.11105687014182948</v>
      </c>
      <c r="G15" s="334">
        <f>G13-G14</f>
        <v>113226.10427376698</v>
      </c>
      <c r="H15" s="335">
        <f>G15/G9</f>
        <v>0.12702870589706322</v>
      </c>
      <c r="I15" s="334">
        <f>I13-I14</f>
        <v>119707.02794043883</v>
      </c>
      <c r="J15" s="335">
        <f>I15/I9</f>
        <v>0.12790445103997372</v>
      </c>
      <c r="K15" s="334">
        <f>K13-K14</f>
        <v>143504.17844597797</v>
      </c>
      <c r="L15" s="335">
        <f>K15/K9</f>
        <v>0.14041319387816306</v>
      </c>
    </row>
    <row r="16" spans="1:12" ht="14.5">
      <c r="B16" s="333" t="s">
        <v>306</v>
      </c>
      <c r="C16" s="334">
        <f>-SOO!R77</f>
        <v>0</v>
      </c>
      <c r="D16" s="335">
        <f>C16/C9</f>
        <v>0</v>
      </c>
      <c r="E16" s="334">
        <f>-SOO!AE77</f>
        <v>0</v>
      </c>
      <c r="F16" s="335">
        <f>E16/E9</f>
        <v>0</v>
      </c>
      <c r="G16" s="334">
        <f>-SOO!AR77</f>
        <v>0</v>
      </c>
      <c r="H16" s="335">
        <f>G16/G9</f>
        <v>0</v>
      </c>
      <c r="I16" s="334">
        <f>-SOO!BE77</f>
        <v>0</v>
      </c>
      <c r="J16" s="335">
        <f>I16/I9</f>
        <v>0</v>
      </c>
      <c r="K16" s="334">
        <f>-SOO!BR77</f>
        <v>0</v>
      </c>
      <c r="L16" s="335">
        <f>K16/K9</f>
        <v>0</v>
      </c>
    </row>
    <row r="17" spans="2:12" ht="14.5">
      <c r="B17" s="333" t="s">
        <v>600</v>
      </c>
      <c r="C17" s="334">
        <f>SOO!R81</f>
        <v>15133.741861696675</v>
      </c>
      <c r="D17" s="157">
        <f t="shared" si="0"/>
        <v>2.2172191446509396E-2</v>
      </c>
      <c r="E17" s="334">
        <f>SOO!AE81</f>
        <v>21632.370137449958</v>
      </c>
      <c r="F17" s="157">
        <f t="shared" si="1"/>
        <v>2.7764217535457381E-2</v>
      </c>
      <c r="G17" s="334">
        <f>SOO!AR81</f>
        <v>28306.526068441693</v>
      </c>
      <c r="H17" s="157">
        <f t="shared" si="2"/>
        <v>3.175717647426575E-2</v>
      </c>
      <c r="I17" s="334">
        <f>SOO!BE81</f>
        <v>29926.756985109711</v>
      </c>
      <c r="J17" s="157">
        <f t="shared" si="3"/>
        <v>3.1976112759993437E-2</v>
      </c>
      <c r="K17" s="334">
        <f>SOO!BR81</f>
        <v>35876.044611494464</v>
      </c>
      <c r="L17" s="157">
        <f t="shared" si="4"/>
        <v>3.5103298469540738E-2</v>
      </c>
    </row>
    <row r="18" spans="2:12" ht="14.5">
      <c r="B18" s="156" t="s">
        <v>290</v>
      </c>
      <c r="C18" s="129">
        <f>C15-C16-C17</f>
        <v>45401.225585089967</v>
      </c>
      <c r="D18" s="157">
        <f t="shared" si="0"/>
        <v>6.6516574339528095E-2</v>
      </c>
      <c r="E18" s="129">
        <f>E13-E14-E17</f>
        <v>64897.110412349844</v>
      </c>
      <c r="F18" s="157">
        <f t="shared" si="1"/>
        <v>8.32926526063721E-2</v>
      </c>
      <c r="G18" s="129">
        <f>G13-G14-G17</f>
        <v>84919.578205325291</v>
      </c>
      <c r="H18" s="157">
        <f t="shared" si="2"/>
        <v>9.5271529422797485E-2</v>
      </c>
      <c r="I18" s="129">
        <f>I13-I14-I17</f>
        <v>89780.270955329121</v>
      </c>
      <c r="J18" s="157">
        <f t="shared" si="3"/>
        <v>9.5928338279980291E-2</v>
      </c>
      <c r="K18" s="129">
        <f>K13-K14-K17</f>
        <v>107628.13383448351</v>
      </c>
      <c r="L18" s="157">
        <f t="shared" si="4"/>
        <v>0.10530989540862233</v>
      </c>
    </row>
    <row r="19" spans="2:12" ht="14.5">
      <c r="B19" s="333" t="s">
        <v>660</v>
      </c>
      <c r="C19" s="368">
        <v>25000</v>
      </c>
      <c r="D19" s="335"/>
      <c r="E19" s="368">
        <v>25000</v>
      </c>
      <c r="F19" s="335"/>
      <c r="G19" s="368">
        <v>25000</v>
      </c>
      <c r="H19" s="335"/>
      <c r="I19" s="368">
        <v>25000</v>
      </c>
      <c r="J19" s="335"/>
      <c r="K19" s="368">
        <v>25000</v>
      </c>
      <c r="L19" s="335"/>
    </row>
    <row r="20" spans="2:12" ht="14.5">
      <c r="B20" s="333" t="s">
        <v>601</v>
      </c>
      <c r="C20" s="334">
        <f>-SUM(SOCF!G37:R37)-C19</f>
        <v>50000</v>
      </c>
      <c r="D20" s="335"/>
      <c r="E20" s="334">
        <f>-SUM(SOCF!T37:AE37)-E19</f>
        <v>75000</v>
      </c>
      <c r="F20" s="335"/>
      <c r="G20" s="334">
        <f>-SUM(SOCF!AG37:AR37)-G19</f>
        <v>75000</v>
      </c>
      <c r="H20" s="335"/>
      <c r="I20" s="334">
        <f>-SUM(SOCF!AT37:BE37)-I19</f>
        <v>75000</v>
      </c>
      <c r="J20" s="335"/>
      <c r="K20" s="334">
        <f>-SUM(SOCF!BG37:BR37)-K19</f>
        <v>100000</v>
      </c>
      <c r="L20" s="335"/>
    </row>
    <row r="21" spans="2:12" ht="14.5">
      <c r="B21" s="152" t="s">
        <v>291</v>
      </c>
      <c r="C21" s="139">
        <f>SOCF!R43</f>
        <v>108050.26959009962</v>
      </c>
      <c r="D21" s="158"/>
      <c r="E21" s="139">
        <f>SOCF!AE43</f>
        <v>92762.340008063649</v>
      </c>
      <c r="F21" s="158"/>
      <c r="G21" s="139">
        <f>SOCF!AR43</f>
        <v>97887.69370693255</v>
      </c>
      <c r="H21" s="158"/>
      <c r="I21" s="139">
        <f>SOCF!BE43</f>
        <v>104885.82821279501</v>
      </c>
      <c r="J21" s="158"/>
      <c r="K21" s="139">
        <f>SOCF!BR43</f>
        <v>107187.40289878829</v>
      </c>
      <c r="L21" s="158"/>
    </row>
    <row r="22" spans="2:12" ht="14.5">
      <c r="B22" s="2"/>
      <c r="C22" s="3"/>
      <c r="D22" s="5"/>
      <c r="E22" s="3"/>
      <c r="F22" s="5"/>
      <c r="G22" s="3"/>
      <c r="H22" s="5"/>
      <c r="I22" s="3"/>
      <c r="J22" s="5"/>
      <c r="K22" s="3"/>
      <c r="L22" s="5"/>
    </row>
    <row r="23" spans="2:12" ht="14.5"/>
    <row r="24" spans="2:12" ht="14.5"/>
    <row r="25" spans="2:12" ht="14.5">
      <c r="B25" s="2"/>
      <c r="C25" s="3">
        <v>2</v>
      </c>
      <c r="D25" s="2">
        <v>3</v>
      </c>
      <c r="E25" s="3">
        <v>4</v>
      </c>
      <c r="F25" s="2">
        <v>5</v>
      </c>
      <c r="G25" s="3">
        <v>6</v>
      </c>
      <c r="H25" s="2">
        <v>7</v>
      </c>
      <c r="I25" s="3">
        <v>8</v>
      </c>
      <c r="J25" s="2">
        <v>9</v>
      </c>
      <c r="K25" s="3">
        <v>10</v>
      </c>
      <c r="L25" s="2">
        <v>11</v>
      </c>
    </row>
    <row r="26" spans="2:12" ht="15.75" customHeight="1">
      <c r="B26" s="369" t="s">
        <v>601</v>
      </c>
      <c r="C26" s="3">
        <f t="shared" ref="C26:L26" si="5">VLOOKUP($B$26,$B$9:$L$21,C25,0)</f>
        <v>50000</v>
      </c>
      <c r="D26" s="3">
        <f t="shared" si="5"/>
        <v>0</v>
      </c>
      <c r="E26" s="3">
        <f t="shared" si="5"/>
        <v>75000</v>
      </c>
      <c r="F26" s="3">
        <f t="shared" si="5"/>
        <v>0</v>
      </c>
      <c r="G26" s="3">
        <f t="shared" si="5"/>
        <v>75000</v>
      </c>
      <c r="H26" s="3">
        <f t="shared" si="5"/>
        <v>0</v>
      </c>
      <c r="I26" s="3">
        <f t="shared" si="5"/>
        <v>75000</v>
      </c>
      <c r="J26" s="3">
        <f t="shared" si="5"/>
        <v>0</v>
      </c>
      <c r="K26" s="3">
        <f t="shared" si="5"/>
        <v>100000</v>
      </c>
      <c r="L26" s="3">
        <f t="shared" si="5"/>
        <v>0</v>
      </c>
    </row>
    <row r="27" spans="2:12" ht="15.75" customHeight="1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2:12" ht="15.75" customHeight="1">
      <c r="D28" s="268" t="s">
        <v>2</v>
      </c>
      <c r="E28" s="268" t="s">
        <v>3</v>
      </c>
      <c r="F28" s="268" t="s">
        <v>4</v>
      </c>
      <c r="G28" s="268" t="s">
        <v>5</v>
      </c>
      <c r="H28" s="268" t="s">
        <v>6</v>
      </c>
    </row>
    <row r="29" spans="2:12" ht="15.75" customHeight="1">
      <c r="C29" t="str">
        <f>B26</f>
        <v>Dividends</v>
      </c>
      <c r="D29" s="353">
        <f>C26</f>
        <v>50000</v>
      </c>
      <c r="E29" s="353">
        <f>E26</f>
        <v>75000</v>
      </c>
      <c r="F29" s="353">
        <f>G26</f>
        <v>75000</v>
      </c>
      <c r="G29" s="353">
        <f>I26</f>
        <v>75000</v>
      </c>
      <c r="H29" s="353">
        <f>K26</f>
        <v>100000</v>
      </c>
    </row>
    <row r="30" spans="2:12" ht="15.75" customHeight="1">
      <c r="C30" t="str">
        <f>C29</f>
        <v>Dividends</v>
      </c>
      <c r="D30" s="362">
        <f>D26</f>
        <v>0</v>
      </c>
      <c r="E30" s="362">
        <f>F26</f>
        <v>0</v>
      </c>
      <c r="F30" s="362">
        <f>H26</f>
        <v>0</v>
      </c>
      <c r="G30" s="362">
        <f>J26</f>
        <v>0</v>
      </c>
      <c r="H30" s="362">
        <f>L26</f>
        <v>0</v>
      </c>
    </row>
    <row r="31" spans="2:12" ht="15.75" customHeight="1"/>
    <row r="32" spans="2:1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protectedRanges>
    <protectedRange sqref="C19:K19" name="Range2"/>
    <protectedRange sqref="B26" name="Range1"/>
  </protectedRanges>
  <dataValidations count="1">
    <dataValidation type="list" allowBlank="1" showInputMessage="1" showErrorMessage="1" sqref="B26" xr:uid="{4F0C2501-F344-45F0-918E-49979E438B91}">
      <formula1>$B$9:$B$21</formula1>
    </dataValidation>
  </dataValidation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BT1000"/>
  <sheetViews>
    <sheetView zoomScale="90" zoomScaleNormal="90" workbookViewId="0">
      <pane xSplit="6" ySplit="6" topLeftCell="G78" activePane="bottomRight" state="frozen"/>
      <selection activeCell="J35" sqref="J35"/>
      <selection pane="topRight" activeCell="J35" sqref="J35"/>
      <selection pane="bottomLeft" activeCell="J35" sqref="J35"/>
      <selection pane="bottomRight" activeCell="J35" sqref="J35"/>
    </sheetView>
  </sheetViews>
  <sheetFormatPr defaultColWidth="14.453125" defaultRowHeight="15" customHeight="1"/>
  <cols>
    <col min="1" max="1" width="3.7265625" customWidth="1"/>
    <col min="2" max="3" width="6.26953125" customWidth="1"/>
    <col min="4" max="4" width="3.7265625" customWidth="1"/>
    <col min="5" max="5" width="9.1796875" customWidth="1"/>
    <col min="6" max="6" width="26.7265625" customWidth="1"/>
    <col min="7" max="7" width="10.7265625" customWidth="1"/>
    <col min="8" max="8" width="11.1796875" customWidth="1"/>
    <col min="9" max="9" width="11.26953125" customWidth="1"/>
    <col min="10" max="10" width="11.54296875" customWidth="1"/>
    <col min="11" max="11" width="11.26953125" customWidth="1"/>
    <col min="12" max="18" width="12.26953125" customWidth="1"/>
    <col min="19" max="19" width="11.26953125" customWidth="1"/>
    <col min="20" max="20" width="10.26953125" customWidth="1"/>
    <col min="21" max="25" width="11.26953125" customWidth="1"/>
    <col min="26" max="68" width="12.26953125" customWidth="1"/>
    <col min="69" max="72" width="14" customWidth="1"/>
  </cols>
  <sheetData>
    <row r="1" spans="1:72" ht="14.5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1"/>
    </row>
    <row r="2" spans="1:72" ht="14.5">
      <c r="A2" s="2" t="s">
        <v>172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1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1"/>
    </row>
    <row r="3" spans="1:72" ht="15.75" customHeight="1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6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1"/>
    </row>
    <row r="4" spans="1:72" ht="14.5">
      <c r="A4" s="11"/>
      <c r="B4" s="11"/>
      <c r="C4" s="11"/>
      <c r="D4" s="11"/>
      <c r="E4" s="11"/>
      <c r="F4" s="11"/>
      <c r="G4" s="31"/>
      <c r="H4" s="32"/>
      <c r="I4" s="32"/>
      <c r="J4" s="32"/>
      <c r="K4" s="32"/>
      <c r="L4" s="32"/>
      <c r="M4" s="33" t="s">
        <v>98</v>
      </c>
      <c r="N4" s="32"/>
      <c r="O4" s="32"/>
      <c r="P4" s="32"/>
      <c r="Q4" s="32"/>
      <c r="R4" s="32"/>
      <c r="S4" s="72"/>
      <c r="T4" s="31"/>
      <c r="U4" s="32"/>
      <c r="V4" s="32"/>
      <c r="W4" s="32"/>
      <c r="X4" s="32"/>
      <c r="Y4" s="32"/>
      <c r="Z4" s="33" t="s">
        <v>99</v>
      </c>
      <c r="AA4" s="32"/>
      <c r="AB4" s="32"/>
      <c r="AC4" s="32"/>
      <c r="AD4" s="32"/>
      <c r="AE4" s="32"/>
      <c r="AF4" s="34"/>
      <c r="AG4" s="31"/>
      <c r="AH4" s="32"/>
      <c r="AI4" s="32"/>
      <c r="AJ4" s="32"/>
      <c r="AK4" s="32"/>
      <c r="AL4" s="32"/>
      <c r="AM4" s="33" t="s">
        <v>100</v>
      </c>
      <c r="AN4" s="32"/>
      <c r="AO4" s="32"/>
      <c r="AP4" s="32"/>
      <c r="AQ4" s="32"/>
      <c r="AR4" s="32"/>
      <c r="AS4" s="34"/>
      <c r="AT4" s="31"/>
      <c r="AU4" s="32"/>
      <c r="AV4" s="32"/>
      <c r="AW4" s="32"/>
      <c r="AX4" s="32"/>
      <c r="AY4" s="32"/>
      <c r="AZ4" s="33" t="s">
        <v>101</v>
      </c>
      <c r="BA4" s="32"/>
      <c r="BB4" s="32"/>
      <c r="BC4" s="32"/>
      <c r="BD4" s="32"/>
      <c r="BE4" s="32"/>
      <c r="BF4" s="34"/>
      <c r="BG4" s="31"/>
      <c r="BH4" s="32"/>
      <c r="BI4" s="32"/>
      <c r="BJ4" s="32"/>
      <c r="BK4" s="32"/>
      <c r="BL4" s="32"/>
      <c r="BM4" s="33" t="s">
        <v>102</v>
      </c>
      <c r="BN4" s="32"/>
      <c r="BO4" s="32"/>
      <c r="BP4" s="32"/>
      <c r="BQ4" s="32"/>
      <c r="BR4" s="32"/>
      <c r="BS4" s="34"/>
      <c r="BT4" s="1"/>
    </row>
    <row r="5" spans="1:72" ht="14.5">
      <c r="A5" s="1"/>
      <c r="B5" s="1"/>
      <c r="C5" s="1"/>
      <c r="D5" s="1"/>
      <c r="E5" s="1"/>
      <c r="F5" s="1"/>
      <c r="G5" s="35" t="str">
        <f>SOFP!F5</f>
        <v>Jan</v>
      </c>
      <c r="H5" s="35" t="str">
        <f>SOFP!G5</f>
        <v>Feb</v>
      </c>
      <c r="I5" s="35" t="str">
        <f>SOFP!H5</f>
        <v>Mar</v>
      </c>
      <c r="J5" s="35" t="str">
        <f>SOFP!I5</f>
        <v>Apr</v>
      </c>
      <c r="K5" s="35" t="str">
        <f>SOFP!J5</f>
        <v>May</v>
      </c>
      <c r="L5" s="35" t="str">
        <f>SOFP!K5</f>
        <v>Jun</v>
      </c>
      <c r="M5" s="35" t="str">
        <f>SOFP!L5</f>
        <v>Jul</v>
      </c>
      <c r="N5" s="35" t="str">
        <f>SOFP!M5</f>
        <v>Aug</v>
      </c>
      <c r="O5" s="35" t="str">
        <f>SOFP!N5</f>
        <v>Sep</v>
      </c>
      <c r="P5" s="35" t="str">
        <f>SOFP!O5</f>
        <v>Oct</v>
      </c>
      <c r="Q5" s="35" t="str">
        <f>SOFP!P5</f>
        <v>Nov</v>
      </c>
      <c r="R5" s="35" t="str">
        <f>SOFP!Q5</f>
        <v>Dec</v>
      </c>
      <c r="S5" s="36" t="s">
        <v>116</v>
      </c>
      <c r="T5" s="35" t="str">
        <f t="shared" ref="T5:AE5" si="0">G5</f>
        <v>Jan</v>
      </c>
      <c r="U5" s="35" t="str">
        <f t="shared" si="0"/>
        <v>Feb</v>
      </c>
      <c r="V5" s="35" t="str">
        <f t="shared" si="0"/>
        <v>Mar</v>
      </c>
      <c r="W5" s="35" t="str">
        <f t="shared" si="0"/>
        <v>Apr</v>
      </c>
      <c r="X5" s="35" t="str">
        <f t="shared" si="0"/>
        <v>May</v>
      </c>
      <c r="Y5" s="35" t="str">
        <f t="shared" si="0"/>
        <v>Jun</v>
      </c>
      <c r="Z5" s="35" t="str">
        <f t="shared" si="0"/>
        <v>Jul</v>
      </c>
      <c r="AA5" s="35" t="str">
        <f t="shared" si="0"/>
        <v>Aug</v>
      </c>
      <c r="AB5" s="35" t="str">
        <f t="shared" si="0"/>
        <v>Sep</v>
      </c>
      <c r="AC5" s="35" t="str">
        <f t="shared" si="0"/>
        <v>Oct</v>
      </c>
      <c r="AD5" s="35" t="str">
        <f t="shared" si="0"/>
        <v>Nov</v>
      </c>
      <c r="AE5" s="35" t="str">
        <f t="shared" si="0"/>
        <v>Dec</v>
      </c>
      <c r="AF5" s="36" t="s">
        <v>116</v>
      </c>
      <c r="AG5" s="35" t="str">
        <f t="shared" ref="AG5:AR5" si="1">T5</f>
        <v>Jan</v>
      </c>
      <c r="AH5" s="35" t="str">
        <f t="shared" si="1"/>
        <v>Feb</v>
      </c>
      <c r="AI5" s="35" t="str">
        <f t="shared" si="1"/>
        <v>Mar</v>
      </c>
      <c r="AJ5" s="35" t="str">
        <f t="shared" si="1"/>
        <v>Apr</v>
      </c>
      <c r="AK5" s="35" t="str">
        <f t="shared" si="1"/>
        <v>May</v>
      </c>
      <c r="AL5" s="35" t="str">
        <f t="shared" si="1"/>
        <v>Jun</v>
      </c>
      <c r="AM5" s="35" t="str">
        <f t="shared" si="1"/>
        <v>Jul</v>
      </c>
      <c r="AN5" s="35" t="str">
        <f t="shared" si="1"/>
        <v>Aug</v>
      </c>
      <c r="AO5" s="35" t="str">
        <f t="shared" si="1"/>
        <v>Sep</v>
      </c>
      <c r="AP5" s="35" t="str">
        <f t="shared" si="1"/>
        <v>Oct</v>
      </c>
      <c r="AQ5" s="35" t="str">
        <f t="shared" si="1"/>
        <v>Nov</v>
      </c>
      <c r="AR5" s="35" t="str">
        <f t="shared" si="1"/>
        <v>Dec</v>
      </c>
      <c r="AS5" s="36" t="s">
        <v>116</v>
      </c>
      <c r="AT5" s="35" t="str">
        <f t="shared" ref="AT5:BE5" si="2">AG5</f>
        <v>Jan</v>
      </c>
      <c r="AU5" s="35" t="str">
        <f t="shared" si="2"/>
        <v>Feb</v>
      </c>
      <c r="AV5" s="35" t="str">
        <f t="shared" si="2"/>
        <v>Mar</v>
      </c>
      <c r="AW5" s="35" t="str">
        <f t="shared" si="2"/>
        <v>Apr</v>
      </c>
      <c r="AX5" s="35" t="str">
        <f t="shared" si="2"/>
        <v>May</v>
      </c>
      <c r="AY5" s="35" t="str">
        <f t="shared" si="2"/>
        <v>Jun</v>
      </c>
      <c r="AZ5" s="35" t="str">
        <f t="shared" si="2"/>
        <v>Jul</v>
      </c>
      <c r="BA5" s="35" t="str">
        <f t="shared" si="2"/>
        <v>Aug</v>
      </c>
      <c r="BB5" s="35" t="str">
        <f t="shared" si="2"/>
        <v>Sep</v>
      </c>
      <c r="BC5" s="35" t="str">
        <f t="shared" si="2"/>
        <v>Oct</v>
      </c>
      <c r="BD5" s="35" t="str">
        <f t="shared" si="2"/>
        <v>Nov</v>
      </c>
      <c r="BE5" s="35" t="str">
        <f t="shared" si="2"/>
        <v>Dec</v>
      </c>
      <c r="BF5" s="36" t="s">
        <v>116</v>
      </c>
      <c r="BG5" s="35" t="str">
        <f t="shared" ref="BG5:BR5" si="3">AT5</f>
        <v>Jan</v>
      </c>
      <c r="BH5" s="35" t="str">
        <f t="shared" si="3"/>
        <v>Feb</v>
      </c>
      <c r="BI5" s="35" t="str">
        <f t="shared" si="3"/>
        <v>Mar</v>
      </c>
      <c r="BJ5" s="35" t="str">
        <f t="shared" si="3"/>
        <v>Apr</v>
      </c>
      <c r="BK5" s="35" t="str">
        <f t="shared" si="3"/>
        <v>May</v>
      </c>
      <c r="BL5" s="35" t="str">
        <f t="shared" si="3"/>
        <v>Jun</v>
      </c>
      <c r="BM5" s="35" t="str">
        <f t="shared" si="3"/>
        <v>Jul</v>
      </c>
      <c r="BN5" s="35" t="str">
        <f t="shared" si="3"/>
        <v>Aug</v>
      </c>
      <c r="BO5" s="35" t="str">
        <f t="shared" si="3"/>
        <v>Sep</v>
      </c>
      <c r="BP5" s="35" t="str">
        <f t="shared" si="3"/>
        <v>Oct</v>
      </c>
      <c r="BQ5" s="35" t="str">
        <f t="shared" si="3"/>
        <v>Nov</v>
      </c>
      <c r="BR5" s="35" t="str">
        <f t="shared" si="3"/>
        <v>Dec</v>
      </c>
      <c r="BS5" s="36" t="s">
        <v>116</v>
      </c>
      <c r="BT5" s="36" t="s">
        <v>117</v>
      </c>
    </row>
    <row r="6" spans="1:72" ht="14.5">
      <c r="A6" s="1"/>
      <c r="B6" s="2"/>
      <c r="C6" s="2"/>
      <c r="D6" s="2"/>
      <c r="E6" s="2"/>
      <c r="F6" s="2"/>
      <c r="G6" s="3">
        <v>1</v>
      </c>
      <c r="H6" s="3">
        <v>2</v>
      </c>
      <c r="I6" s="3">
        <v>3</v>
      </c>
      <c r="J6" s="3">
        <v>4</v>
      </c>
      <c r="K6" s="3">
        <v>5</v>
      </c>
      <c r="L6" s="3">
        <v>6</v>
      </c>
      <c r="M6" s="3">
        <v>7</v>
      </c>
      <c r="N6" s="3">
        <v>8</v>
      </c>
      <c r="O6" s="3">
        <v>9</v>
      </c>
      <c r="P6" s="3">
        <v>10</v>
      </c>
      <c r="Q6" s="3">
        <v>11</v>
      </c>
      <c r="R6" s="3">
        <v>12</v>
      </c>
      <c r="S6" s="37"/>
      <c r="T6" s="3">
        <v>13</v>
      </c>
      <c r="U6" s="3">
        <v>14</v>
      </c>
      <c r="V6" s="3">
        <v>15</v>
      </c>
      <c r="W6" s="3">
        <v>16</v>
      </c>
      <c r="X6" s="3">
        <v>17</v>
      </c>
      <c r="Y6" s="3">
        <v>18</v>
      </c>
      <c r="Z6" s="3">
        <v>19</v>
      </c>
      <c r="AA6" s="3">
        <v>20</v>
      </c>
      <c r="AB6" s="3">
        <v>21</v>
      </c>
      <c r="AC6" s="3">
        <v>22</v>
      </c>
      <c r="AD6" s="3">
        <v>23</v>
      </c>
      <c r="AE6" s="3">
        <v>24</v>
      </c>
      <c r="AF6" s="37"/>
      <c r="AG6" s="3">
        <v>25</v>
      </c>
      <c r="AH6" s="3">
        <v>26</v>
      </c>
      <c r="AI6" s="3">
        <v>27</v>
      </c>
      <c r="AJ6" s="3">
        <v>28</v>
      </c>
      <c r="AK6" s="3">
        <v>29</v>
      </c>
      <c r="AL6" s="3">
        <v>30</v>
      </c>
      <c r="AM6" s="3">
        <v>31</v>
      </c>
      <c r="AN6" s="3">
        <v>32</v>
      </c>
      <c r="AO6" s="3">
        <v>33</v>
      </c>
      <c r="AP6" s="3">
        <v>34</v>
      </c>
      <c r="AQ6" s="3">
        <v>35</v>
      </c>
      <c r="AR6" s="3">
        <v>36</v>
      </c>
      <c r="AS6" s="37"/>
      <c r="AT6" s="3">
        <v>37</v>
      </c>
      <c r="AU6" s="3">
        <v>38</v>
      </c>
      <c r="AV6" s="3">
        <v>39</v>
      </c>
      <c r="AW6" s="3">
        <v>40</v>
      </c>
      <c r="AX6" s="3">
        <v>41</v>
      </c>
      <c r="AY6" s="3">
        <v>42</v>
      </c>
      <c r="AZ6" s="3">
        <v>43</v>
      </c>
      <c r="BA6" s="3">
        <v>44</v>
      </c>
      <c r="BB6" s="3">
        <v>45</v>
      </c>
      <c r="BC6" s="3">
        <v>46</v>
      </c>
      <c r="BD6" s="3">
        <v>47</v>
      </c>
      <c r="BE6" s="3">
        <v>48</v>
      </c>
      <c r="BF6" s="37"/>
      <c r="BG6" s="3">
        <v>49</v>
      </c>
      <c r="BH6" s="3">
        <v>50</v>
      </c>
      <c r="BI6" s="3">
        <v>51</v>
      </c>
      <c r="BJ6" s="3">
        <v>52</v>
      </c>
      <c r="BK6" s="3">
        <v>53</v>
      </c>
      <c r="BL6" s="3">
        <v>54</v>
      </c>
      <c r="BM6" s="3">
        <v>55</v>
      </c>
      <c r="BN6" s="3">
        <v>56</v>
      </c>
      <c r="BO6" s="3">
        <v>57</v>
      </c>
      <c r="BP6" s="3">
        <v>58</v>
      </c>
      <c r="BQ6" s="3">
        <v>59</v>
      </c>
      <c r="BR6" s="3">
        <v>60</v>
      </c>
      <c r="BS6" s="37"/>
      <c r="BT6" s="1"/>
    </row>
    <row r="7" spans="1:72" ht="14.5">
      <c r="A7" s="1" t="s">
        <v>173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1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1"/>
    </row>
    <row r="8" spans="1:72" ht="14.5">
      <c r="A8" s="2"/>
      <c r="B8" s="2"/>
      <c r="C8" s="2" t="s">
        <v>174</v>
      </c>
      <c r="D8" s="2"/>
      <c r="E8" s="2"/>
      <c r="F8" s="2"/>
      <c r="G8" s="38">
        <v>10</v>
      </c>
      <c r="H8" s="38">
        <v>0</v>
      </c>
      <c r="I8" s="38">
        <v>10</v>
      </c>
      <c r="J8" s="38"/>
      <c r="K8" s="38">
        <v>10</v>
      </c>
      <c r="M8" s="38"/>
      <c r="N8" s="38">
        <v>10</v>
      </c>
      <c r="O8" s="38"/>
      <c r="P8" s="38"/>
      <c r="Q8" s="38">
        <v>10</v>
      </c>
      <c r="R8" s="38"/>
      <c r="S8" s="37">
        <f>SUM(G8:R8)</f>
        <v>50</v>
      </c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">
        <f>SUM(T8:AE8)</f>
        <v>0</v>
      </c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">
        <f>SUM(AG8:AR8)</f>
        <v>0</v>
      </c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">
        <f>SUM(AT8:BE8)</f>
        <v>0</v>
      </c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">
        <f>SUM(BG8:BR8)</f>
        <v>0</v>
      </c>
      <c r="BT8" s="37">
        <f>S8+AF8+AS8+BF8+BS8</f>
        <v>50</v>
      </c>
    </row>
    <row r="9" spans="1:72" ht="14.5">
      <c r="A9" s="2"/>
      <c r="B9" s="2"/>
      <c r="C9" s="2" t="s">
        <v>175</v>
      </c>
      <c r="D9" s="2"/>
      <c r="E9" s="2"/>
      <c r="F9" s="2"/>
      <c r="G9" s="2"/>
      <c r="H9" s="38">
        <v>10</v>
      </c>
      <c r="I9" s="2"/>
      <c r="J9" s="38">
        <v>10</v>
      </c>
      <c r="K9" s="38"/>
      <c r="L9" s="38">
        <v>10</v>
      </c>
      <c r="M9" s="2"/>
      <c r="N9" s="2"/>
      <c r="O9" s="38">
        <v>10</v>
      </c>
      <c r="P9" s="38"/>
      <c r="Q9" s="38">
        <v>10</v>
      </c>
      <c r="R9" s="38"/>
      <c r="S9" s="37">
        <f>SUM(H9:R9)</f>
        <v>50</v>
      </c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"/>
      <c r="BT9" s="37"/>
    </row>
    <row r="10" spans="1:72" ht="14.5">
      <c r="A10" s="2"/>
      <c r="B10" s="2"/>
      <c r="C10" s="2" t="s">
        <v>176</v>
      </c>
      <c r="D10" s="2"/>
      <c r="E10" s="2"/>
      <c r="F10" s="2"/>
      <c r="G10" s="38">
        <v>10</v>
      </c>
      <c r="H10" s="38">
        <v>0</v>
      </c>
      <c r="I10" s="38">
        <v>10</v>
      </c>
      <c r="J10" s="38"/>
      <c r="K10" s="38"/>
      <c r="L10" s="2"/>
      <c r="M10" s="38">
        <v>10</v>
      </c>
      <c r="N10" s="2"/>
      <c r="O10" s="38"/>
      <c r="P10" s="38">
        <v>10</v>
      </c>
      <c r="Q10" s="2"/>
      <c r="R10" s="38">
        <v>10</v>
      </c>
      <c r="S10" s="37">
        <f t="shared" ref="S10:S33" si="4">SUM(G10:R10)</f>
        <v>50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"/>
      <c r="BT10" s="37"/>
    </row>
    <row r="11" spans="1:72" ht="14.5">
      <c r="A11" s="2"/>
      <c r="B11" s="2"/>
      <c r="C11" s="2" t="s">
        <v>177</v>
      </c>
      <c r="D11" s="2"/>
      <c r="E11" s="2"/>
      <c r="F11" s="2"/>
      <c r="G11" s="38">
        <v>10</v>
      </c>
      <c r="H11" s="38">
        <v>0</v>
      </c>
      <c r="I11" s="2"/>
      <c r="J11" s="38">
        <v>10</v>
      </c>
      <c r="K11" s="38"/>
      <c r="L11" s="38">
        <v>10</v>
      </c>
      <c r="M11" s="38"/>
      <c r="N11" s="38">
        <v>10</v>
      </c>
      <c r="O11" s="38"/>
      <c r="P11" s="38"/>
      <c r="Q11" s="38">
        <v>10</v>
      </c>
      <c r="R11" s="38"/>
      <c r="S11" s="37">
        <f t="shared" si="4"/>
        <v>50</v>
      </c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"/>
      <c r="BT11" s="37"/>
    </row>
    <row r="12" spans="1:72" ht="14.5">
      <c r="A12" s="2"/>
      <c r="B12" s="2"/>
      <c r="C12" s="2" t="s">
        <v>178</v>
      </c>
      <c r="D12" s="2"/>
      <c r="E12" s="2"/>
      <c r="F12" s="2"/>
      <c r="G12" s="38"/>
      <c r="H12" s="38">
        <v>10</v>
      </c>
      <c r="I12" s="2"/>
      <c r="J12" s="38"/>
      <c r="K12" s="2">
        <v>10</v>
      </c>
      <c r="L12" s="2"/>
      <c r="M12" s="38"/>
      <c r="N12" s="2"/>
      <c r="O12" s="38"/>
      <c r="P12" s="2"/>
      <c r="Q12" s="38">
        <v>10</v>
      </c>
      <c r="R12" s="38"/>
      <c r="S12" s="37">
        <f t="shared" si="4"/>
        <v>30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"/>
      <c r="BT12" s="37"/>
    </row>
    <row r="13" spans="1:72" ht="14.5">
      <c r="A13" s="2"/>
      <c r="B13" s="2"/>
      <c r="C13" s="2" t="s">
        <v>179</v>
      </c>
      <c r="D13" s="2"/>
      <c r="E13" s="2"/>
      <c r="F13" s="2"/>
      <c r="G13" s="38"/>
      <c r="H13" s="38"/>
      <c r="I13" s="38">
        <v>10</v>
      </c>
      <c r="J13" s="38"/>
      <c r="K13" s="38"/>
      <c r="L13" s="2"/>
      <c r="M13" s="38"/>
      <c r="N13" s="38"/>
      <c r="O13" s="2"/>
      <c r="P13" s="38"/>
      <c r="Q13" s="38"/>
      <c r="R13" s="2"/>
      <c r="S13" s="37">
        <f t="shared" si="4"/>
        <v>10</v>
      </c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"/>
      <c r="BT13" s="37"/>
    </row>
    <row r="14" spans="1:72" ht="14.5">
      <c r="A14" s="2"/>
      <c r="B14" s="2"/>
      <c r="C14" s="2" t="s">
        <v>180</v>
      </c>
      <c r="D14" s="2"/>
      <c r="E14" s="2"/>
      <c r="F14" s="2"/>
      <c r="G14" s="38"/>
      <c r="H14" s="38"/>
      <c r="I14" s="38"/>
      <c r="J14" s="38"/>
      <c r="K14" s="38"/>
      <c r="L14" s="38">
        <v>10</v>
      </c>
      <c r="M14" s="38"/>
      <c r="N14" s="38"/>
      <c r="O14" s="38"/>
      <c r="P14" s="38"/>
      <c r="Q14" s="38"/>
      <c r="R14" s="38"/>
      <c r="S14" s="37">
        <f t="shared" si="4"/>
        <v>10</v>
      </c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"/>
      <c r="BT14" s="37"/>
    </row>
    <row r="15" spans="1:72" ht="14.5">
      <c r="A15" s="2"/>
      <c r="B15" s="2"/>
      <c r="C15" s="2" t="s">
        <v>181</v>
      </c>
      <c r="D15" s="2"/>
      <c r="E15" s="2"/>
      <c r="F15" s="2"/>
      <c r="G15" s="38"/>
      <c r="H15" s="38"/>
      <c r="I15" s="38"/>
      <c r="J15" s="38"/>
      <c r="K15" s="38"/>
      <c r="L15" s="38"/>
      <c r="M15" s="38"/>
      <c r="N15" s="38"/>
      <c r="O15" s="38">
        <v>10</v>
      </c>
      <c r="P15" s="38"/>
      <c r="Q15" s="38"/>
      <c r="R15" s="38"/>
      <c r="S15" s="37">
        <f t="shared" si="4"/>
        <v>10</v>
      </c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"/>
      <c r="BT15" s="37"/>
    </row>
    <row r="16" spans="1:72" ht="14.5">
      <c r="A16" s="2"/>
      <c r="B16" s="2"/>
      <c r="C16" s="2" t="s">
        <v>182</v>
      </c>
      <c r="D16" s="2"/>
      <c r="E16" s="2"/>
      <c r="F16" s="2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>
        <v>10</v>
      </c>
      <c r="S16" s="37">
        <f t="shared" si="4"/>
        <v>10</v>
      </c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"/>
      <c r="BT16" s="37"/>
    </row>
    <row r="17" spans="1:72" ht="14.5">
      <c r="A17" s="2"/>
      <c r="B17" s="2"/>
      <c r="C17" s="2" t="s">
        <v>183</v>
      </c>
      <c r="D17" s="2"/>
      <c r="E17" s="2"/>
      <c r="F17" s="2"/>
      <c r="G17" s="38"/>
      <c r="H17" s="38"/>
      <c r="I17" s="2"/>
      <c r="J17" s="2"/>
      <c r="K17" s="2"/>
      <c r="L17" s="2"/>
      <c r="M17" s="2"/>
      <c r="N17" s="2"/>
      <c r="O17" s="2"/>
      <c r="P17" s="38"/>
      <c r="Q17" s="38"/>
      <c r="R17" s="38">
        <v>10</v>
      </c>
      <c r="S17" s="37">
        <f t="shared" si="4"/>
        <v>10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"/>
      <c r="BT17" s="37"/>
    </row>
    <row r="18" spans="1:72" ht="14.5">
      <c r="A18" s="2"/>
      <c r="B18" s="2"/>
      <c r="C18" s="2" t="s">
        <v>184</v>
      </c>
      <c r="D18" s="2"/>
      <c r="E18" s="2"/>
      <c r="F18" s="2"/>
      <c r="G18" s="38"/>
      <c r="H18" s="38"/>
      <c r="I18" s="38">
        <v>10</v>
      </c>
      <c r="J18" s="38"/>
      <c r="K18" s="38"/>
      <c r="L18" s="38"/>
      <c r="M18" s="38"/>
      <c r="N18" s="38"/>
      <c r="O18" s="38"/>
      <c r="P18" s="38"/>
      <c r="Q18" s="38"/>
      <c r="R18" s="38"/>
      <c r="S18" s="37">
        <f t="shared" si="4"/>
        <v>10</v>
      </c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"/>
      <c r="BT18" s="37"/>
    </row>
    <row r="19" spans="1:72" ht="14.5">
      <c r="A19" s="2"/>
      <c r="B19" s="2"/>
      <c r="C19" s="2" t="s">
        <v>185</v>
      </c>
      <c r="D19" s="2"/>
      <c r="E19" s="2"/>
      <c r="F19" s="2"/>
      <c r="G19" s="38"/>
      <c r="H19" s="38"/>
      <c r="I19" s="38"/>
      <c r="J19" s="38"/>
      <c r="K19" s="38">
        <v>10</v>
      </c>
      <c r="L19" s="38"/>
      <c r="M19" s="38"/>
      <c r="N19" s="38"/>
      <c r="O19" s="38"/>
      <c r="P19" s="38"/>
      <c r="Q19" s="38"/>
      <c r="R19" s="38"/>
      <c r="S19" s="37">
        <f t="shared" si="4"/>
        <v>10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"/>
      <c r="BT19" s="37"/>
    </row>
    <row r="20" spans="1:72" ht="14.5">
      <c r="A20" s="2"/>
      <c r="B20" s="2"/>
      <c r="C20" s="2" t="s">
        <v>186</v>
      </c>
      <c r="D20" s="2"/>
      <c r="E20" s="2"/>
      <c r="F20" s="2"/>
      <c r="G20" s="38"/>
      <c r="H20" s="38"/>
      <c r="I20" s="38"/>
      <c r="J20" s="38"/>
      <c r="K20" s="38"/>
      <c r="L20" s="38"/>
      <c r="M20" s="38">
        <v>10</v>
      </c>
      <c r="N20" s="38"/>
      <c r="O20" s="38"/>
      <c r="P20" s="38"/>
      <c r="Q20" s="38"/>
      <c r="R20" s="38"/>
      <c r="S20" s="37">
        <f t="shared" si="4"/>
        <v>10</v>
      </c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"/>
      <c r="BT20" s="37"/>
    </row>
    <row r="21" spans="1:72" ht="15.75" customHeight="1">
      <c r="A21" s="2"/>
      <c r="B21" s="2"/>
      <c r="C21" s="2" t="s">
        <v>187</v>
      </c>
      <c r="D21" s="2"/>
      <c r="E21" s="2"/>
      <c r="F21" s="2"/>
      <c r="G21" s="38"/>
      <c r="H21" s="38"/>
      <c r="I21" s="38"/>
      <c r="J21" s="38"/>
      <c r="K21" s="38"/>
      <c r="L21" s="38"/>
      <c r="M21" s="38"/>
      <c r="N21" s="38"/>
      <c r="O21" s="38">
        <v>10</v>
      </c>
      <c r="P21" s="38"/>
      <c r="Q21" s="38"/>
      <c r="R21" s="38"/>
      <c r="S21" s="37">
        <f t="shared" si="4"/>
        <v>10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"/>
      <c r="BT21" s="37"/>
    </row>
    <row r="22" spans="1:72" ht="15.75" customHeight="1">
      <c r="A22" s="2"/>
      <c r="B22" s="2"/>
      <c r="C22" s="2" t="s">
        <v>188</v>
      </c>
      <c r="D22" s="2"/>
      <c r="E22" s="2"/>
      <c r="F22" s="2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10</v>
      </c>
      <c r="S22" s="37">
        <f t="shared" si="4"/>
        <v>10</v>
      </c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"/>
      <c r="BT22" s="37"/>
    </row>
    <row r="23" spans="1:72" ht="15.75" customHeight="1">
      <c r="A23" s="2"/>
      <c r="B23" s="2"/>
      <c r="C23" s="2" t="s">
        <v>189</v>
      </c>
      <c r="D23" s="2"/>
      <c r="E23" s="2"/>
      <c r="F23" s="2"/>
      <c r="G23" s="38"/>
      <c r="H23" s="2">
        <v>10</v>
      </c>
      <c r="I23" s="38"/>
      <c r="J23" s="38"/>
      <c r="K23" s="38"/>
      <c r="L23" s="38"/>
      <c r="M23" s="38"/>
      <c r="N23" s="38"/>
      <c r="O23" s="38"/>
      <c r="P23" s="2"/>
      <c r="Q23" s="38"/>
      <c r="R23" s="38"/>
      <c r="S23" s="37">
        <f t="shared" si="4"/>
        <v>10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"/>
      <c r="BT23" s="37"/>
    </row>
    <row r="24" spans="1:72" ht="15.75" customHeight="1">
      <c r="A24" s="2"/>
      <c r="B24" s="2"/>
      <c r="C24" s="2" t="s">
        <v>190</v>
      </c>
      <c r="D24" s="2"/>
      <c r="E24" s="2"/>
      <c r="F24" s="2"/>
      <c r="G24" s="38"/>
      <c r="H24" s="2"/>
      <c r="I24" s="38"/>
      <c r="J24" s="38">
        <v>10</v>
      </c>
      <c r="K24" s="38"/>
      <c r="L24" s="38"/>
      <c r="M24" s="38"/>
      <c r="N24" s="38"/>
      <c r="O24" s="38"/>
      <c r="P24" s="2"/>
      <c r="Q24" s="38"/>
      <c r="R24" s="38"/>
      <c r="S24" s="37">
        <f t="shared" si="4"/>
        <v>10</v>
      </c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"/>
      <c r="BT24" s="37"/>
    </row>
    <row r="25" spans="1:72" ht="15.75" customHeight="1">
      <c r="A25" s="2"/>
      <c r="B25" s="2"/>
      <c r="C25" s="2" t="s">
        <v>191</v>
      </c>
      <c r="D25" s="2"/>
      <c r="E25" s="2"/>
      <c r="F25" s="2"/>
      <c r="G25" s="38"/>
      <c r="H25" s="2"/>
      <c r="I25" s="38"/>
      <c r="J25" s="38"/>
      <c r="K25" s="38">
        <v>10</v>
      </c>
      <c r="L25" s="38"/>
      <c r="M25" s="38"/>
      <c r="N25" s="38"/>
      <c r="O25" s="38"/>
      <c r="P25" s="2"/>
      <c r="Q25" s="38"/>
      <c r="R25" s="38"/>
      <c r="S25" s="37">
        <f t="shared" si="4"/>
        <v>10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"/>
      <c r="BT25" s="37"/>
    </row>
    <row r="26" spans="1:72" ht="15.75" customHeight="1">
      <c r="A26" s="2"/>
      <c r="B26" s="2"/>
      <c r="C26" s="2" t="s">
        <v>192</v>
      </c>
      <c r="D26" s="2"/>
      <c r="E26" s="2"/>
      <c r="F26" s="2"/>
      <c r="G26" s="38"/>
      <c r="H26" s="2"/>
      <c r="I26" s="38"/>
      <c r="J26" s="38"/>
      <c r="K26" s="38"/>
      <c r="L26" s="38">
        <v>10</v>
      </c>
      <c r="M26" s="38"/>
      <c r="N26" s="38"/>
      <c r="O26" s="38"/>
      <c r="P26" s="2"/>
      <c r="Q26" s="38"/>
      <c r="R26" s="38"/>
      <c r="S26" s="37">
        <f t="shared" si="4"/>
        <v>10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"/>
      <c r="BT26" s="37"/>
    </row>
    <row r="27" spans="1:72" ht="15.75" customHeight="1">
      <c r="A27" s="2"/>
      <c r="B27" s="2"/>
      <c r="C27" s="2" t="s">
        <v>193</v>
      </c>
      <c r="D27" s="2"/>
      <c r="E27" s="2"/>
      <c r="F27" s="2"/>
      <c r="G27" s="38"/>
      <c r="H27" s="2"/>
      <c r="I27" s="38"/>
      <c r="J27" s="38"/>
      <c r="K27" s="38"/>
      <c r="L27" s="38"/>
      <c r="M27" s="38">
        <v>10</v>
      </c>
      <c r="N27" s="38"/>
      <c r="O27" s="38"/>
      <c r="P27" s="2"/>
      <c r="Q27" s="38"/>
      <c r="R27" s="38"/>
      <c r="S27" s="37">
        <f t="shared" si="4"/>
        <v>10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"/>
      <c r="BT27" s="37"/>
    </row>
    <row r="28" spans="1:72" ht="15.75" customHeight="1">
      <c r="A28" s="2"/>
      <c r="B28" s="2"/>
      <c r="C28" s="2" t="s">
        <v>194</v>
      </c>
      <c r="D28" s="2"/>
      <c r="E28" s="2"/>
      <c r="F28" s="2"/>
      <c r="G28" s="38"/>
      <c r="H28" s="2"/>
      <c r="I28" s="38"/>
      <c r="J28" s="38"/>
      <c r="K28" s="38"/>
      <c r="L28" s="38"/>
      <c r="M28" s="38"/>
      <c r="N28" s="38">
        <v>10</v>
      </c>
      <c r="O28" s="38"/>
      <c r="P28" s="2"/>
      <c r="Q28" s="38"/>
      <c r="R28" s="38"/>
      <c r="S28" s="37">
        <f t="shared" si="4"/>
        <v>10</v>
      </c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"/>
      <c r="BT28" s="37"/>
    </row>
    <row r="29" spans="1:72" ht="15.75" customHeight="1">
      <c r="A29" s="2"/>
      <c r="B29" s="2"/>
      <c r="C29" s="2" t="s">
        <v>195</v>
      </c>
      <c r="D29" s="2"/>
      <c r="E29" s="2"/>
      <c r="F29" s="2"/>
      <c r="G29" s="38"/>
      <c r="H29" s="2"/>
      <c r="I29" s="38"/>
      <c r="J29" s="38"/>
      <c r="K29" s="38"/>
      <c r="L29" s="38"/>
      <c r="M29" s="38"/>
      <c r="N29" s="38"/>
      <c r="O29" s="38"/>
      <c r="P29" s="2">
        <v>10</v>
      </c>
      <c r="Q29" s="38"/>
      <c r="R29" s="38"/>
      <c r="S29" s="37">
        <f t="shared" si="4"/>
        <v>10</v>
      </c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"/>
      <c r="BT29" s="37"/>
    </row>
    <row r="30" spans="1:72" ht="15.75" customHeight="1">
      <c r="A30" s="2"/>
      <c r="B30" s="2"/>
      <c r="C30" s="2" t="s">
        <v>196</v>
      </c>
      <c r="D30" s="2"/>
      <c r="E30" s="2"/>
      <c r="F30" s="2"/>
      <c r="G30" s="38">
        <v>10</v>
      </c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7">
        <f t="shared" si="4"/>
        <v>10</v>
      </c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"/>
      <c r="BT30" s="37"/>
    </row>
    <row r="31" spans="1:72" ht="15.75" customHeight="1">
      <c r="A31" s="2"/>
      <c r="B31" s="2"/>
      <c r="C31" s="2" t="s">
        <v>197</v>
      </c>
      <c r="D31" s="2"/>
      <c r="E31" s="2"/>
      <c r="F31" s="2"/>
      <c r="G31" s="38"/>
      <c r="H31" s="38"/>
      <c r="I31" s="38"/>
      <c r="J31" s="38">
        <v>10</v>
      </c>
      <c r="K31" s="38"/>
      <c r="L31" s="38"/>
      <c r="M31" s="38"/>
      <c r="N31" s="38"/>
      <c r="O31" s="38"/>
      <c r="P31" s="38"/>
      <c r="Q31" s="38"/>
      <c r="R31" s="38"/>
      <c r="S31" s="37">
        <f t="shared" si="4"/>
        <v>10</v>
      </c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"/>
      <c r="BT31" s="37"/>
    </row>
    <row r="32" spans="1:72" ht="15.75" customHeight="1">
      <c r="A32" s="2"/>
      <c r="B32" s="2"/>
      <c r="C32" s="2" t="s">
        <v>198</v>
      </c>
      <c r="D32" s="2"/>
      <c r="E32" s="2"/>
      <c r="F32" s="2"/>
      <c r="G32" s="38"/>
      <c r="H32" s="38"/>
      <c r="I32" s="38"/>
      <c r="J32" s="38"/>
      <c r="K32" s="38"/>
      <c r="L32" s="38"/>
      <c r="M32" s="38">
        <v>10</v>
      </c>
      <c r="N32" s="38"/>
      <c r="O32" s="38"/>
      <c r="P32" s="38"/>
      <c r="Q32" s="38"/>
      <c r="R32" s="38"/>
      <c r="S32" s="37">
        <f t="shared" si="4"/>
        <v>10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"/>
      <c r="BT32" s="37"/>
    </row>
    <row r="33" spans="1:72" ht="15.75" customHeight="1">
      <c r="A33" s="2"/>
      <c r="B33" s="2"/>
      <c r="C33" s="2" t="s">
        <v>199</v>
      </c>
      <c r="D33" s="2"/>
      <c r="E33" s="2"/>
      <c r="F33" s="2"/>
      <c r="G33" s="38"/>
      <c r="H33" s="38"/>
      <c r="I33" s="38"/>
      <c r="J33" s="38"/>
      <c r="K33" s="38"/>
      <c r="L33" s="38"/>
      <c r="M33" s="38"/>
      <c r="N33" s="38"/>
      <c r="O33" s="38"/>
      <c r="P33" s="38">
        <v>10</v>
      </c>
      <c r="Q33" s="38"/>
      <c r="R33" s="38"/>
      <c r="S33" s="37">
        <f t="shared" si="4"/>
        <v>10</v>
      </c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"/>
      <c r="BT33" s="37"/>
    </row>
    <row r="34" spans="1:72" ht="15.75" customHeight="1">
      <c r="A34" s="2"/>
      <c r="B34" s="2"/>
      <c r="C34" s="2" t="s">
        <v>200</v>
      </c>
      <c r="D34" s="2"/>
      <c r="E34" s="2"/>
      <c r="F34" s="2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>
        <v>10</v>
      </c>
      <c r="R34" s="2"/>
      <c r="S34" s="37">
        <f>SUM(G34:Q34)</f>
        <v>10</v>
      </c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"/>
      <c r="BT34" s="37"/>
    </row>
    <row r="35" spans="1:72" ht="15.75" customHeight="1">
      <c r="A35" s="2"/>
      <c r="B35" s="2"/>
      <c r="C35" s="2" t="s">
        <v>201</v>
      </c>
      <c r="D35" s="2"/>
      <c r="E35" s="2"/>
      <c r="F35" s="2"/>
      <c r="G35" s="38"/>
      <c r="H35" s="38"/>
      <c r="I35" s="38">
        <v>10</v>
      </c>
      <c r="J35" s="38"/>
      <c r="K35" s="38"/>
      <c r="L35" s="38"/>
      <c r="M35" s="38"/>
      <c r="N35" s="38"/>
      <c r="O35" s="38"/>
      <c r="P35" s="38"/>
      <c r="Q35" s="38"/>
      <c r="R35" s="2"/>
      <c r="S35" s="37">
        <f t="shared" ref="S35:S43" si="5">SUM(G35:R35)</f>
        <v>10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"/>
      <c r="BT35" s="37"/>
    </row>
    <row r="36" spans="1:72" ht="15.75" customHeight="1">
      <c r="A36" s="2"/>
      <c r="B36" s="2"/>
      <c r="C36" s="2" t="s">
        <v>202</v>
      </c>
      <c r="D36" s="2"/>
      <c r="E36" s="2"/>
      <c r="F36" s="2"/>
      <c r="G36" s="38"/>
      <c r="H36" s="38"/>
      <c r="I36" s="38"/>
      <c r="J36" s="38"/>
      <c r="K36" s="38"/>
      <c r="L36" s="38">
        <v>10</v>
      </c>
      <c r="M36" s="38"/>
      <c r="N36" s="38"/>
      <c r="O36" s="38"/>
      <c r="P36" s="38"/>
      <c r="Q36" s="38"/>
      <c r="R36" s="38"/>
      <c r="S36" s="37">
        <f t="shared" si="5"/>
        <v>10</v>
      </c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"/>
      <c r="BT36" s="37"/>
    </row>
    <row r="37" spans="1:72" ht="15.75" customHeight="1">
      <c r="A37" s="2"/>
      <c r="B37" s="2"/>
      <c r="C37" s="2" t="s">
        <v>203</v>
      </c>
      <c r="D37" s="2"/>
      <c r="E37" s="2"/>
      <c r="F37" s="2"/>
      <c r="G37" s="38"/>
      <c r="H37" s="38"/>
      <c r="I37" s="38"/>
      <c r="J37" s="38"/>
      <c r="K37" s="38"/>
      <c r="L37" s="38"/>
      <c r="M37" s="38"/>
      <c r="N37" s="38"/>
      <c r="O37" s="38">
        <v>10</v>
      </c>
      <c r="P37" s="38"/>
      <c r="Q37" s="38"/>
      <c r="R37" s="38"/>
      <c r="S37" s="37">
        <f t="shared" si="5"/>
        <v>10</v>
      </c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"/>
      <c r="BT37" s="37"/>
    </row>
    <row r="38" spans="1:72" ht="15.75" customHeight="1">
      <c r="A38" s="2"/>
      <c r="B38" s="2"/>
      <c r="C38" s="2" t="s">
        <v>204</v>
      </c>
      <c r="D38" s="2"/>
      <c r="E38" s="2"/>
      <c r="F38" s="2"/>
      <c r="G38" s="38"/>
      <c r="H38" s="38"/>
      <c r="I38" s="38"/>
      <c r="J38" s="38"/>
      <c r="K38" s="38"/>
      <c r="L38" s="38"/>
      <c r="M38" s="38"/>
      <c r="N38" s="38"/>
      <c r="O38" s="38">
        <v>10</v>
      </c>
      <c r="P38" s="38"/>
      <c r="Q38" s="38"/>
      <c r="R38" s="38"/>
      <c r="S38" s="37">
        <f t="shared" si="5"/>
        <v>10</v>
      </c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"/>
      <c r="BT38" s="37"/>
    </row>
    <row r="39" spans="1:72" ht="15.75" customHeight="1">
      <c r="A39" s="2"/>
      <c r="B39" s="2"/>
      <c r="C39" s="2" t="s">
        <v>205</v>
      </c>
      <c r="D39" s="2"/>
      <c r="E39" s="2"/>
      <c r="F39" s="2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10</v>
      </c>
      <c r="S39" s="37">
        <f t="shared" si="5"/>
        <v>10</v>
      </c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"/>
      <c r="BT39" s="37"/>
    </row>
    <row r="40" spans="1:72" ht="15.75" customHeight="1">
      <c r="A40" s="2"/>
      <c r="B40" s="2"/>
      <c r="C40" s="2" t="s">
        <v>206</v>
      </c>
      <c r="D40" s="2"/>
      <c r="E40" s="2"/>
      <c r="F40" s="2"/>
      <c r="G40" s="38">
        <v>10</v>
      </c>
      <c r="H40" s="38"/>
      <c r="I40" s="38"/>
      <c r="J40" s="38">
        <v>10</v>
      </c>
      <c r="K40" s="38"/>
      <c r="L40" s="38"/>
      <c r="M40" s="38">
        <v>10</v>
      </c>
      <c r="N40" s="38"/>
      <c r="O40" s="38"/>
      <c r="P40" s="38">
        <v>10</v>
      </c>
      <c r="Q40" s="38"/>
      <c r="R40" s="38"/>
      <c r="S40" s="37">
        <f t="shared" si="5"/>
        <v>40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"/>
      <c r="BT40" s="37"/>
    </row>
    <row r="41" spans="1:72" ht="15.75" customHeight="1">
      <c r="A41" s="2"/>
      <c r="B41" s="2"/>
      <c r="C41" s="2" t="s">
        <v>207</v>
      </c>
      <c r="D41" s="2"/>
      <c r="E41" s="2"/>
      <c r="F41" s="2"/>
      <c r="G41" s="38"/>
      <c r="H41" s="38">
        <v>10</v>
      </c>
      <c r="I41" s="38"/>
      <c r="J41" s="38"/>
      <c r="K41" s="2"/>
      <c r="L41" s="38"/>
      <c r="M41" s="38"/>
      <c r="N41" s="38">
        <v>10</v>
      </c>
      <c r="O41" s="38"/>
      <c r="P41" s="38"/>
      <c r="Q41" s="38"/>
      <c r="R41" s="38"/>
      <c r="S41" s="37">
        <f t="shared" si="5"/>
        <v>20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"/>
      <c r="BT41" s="37"/>
    </row>
    <row r="42" spans="1:72" ht="15.75" customHeight="1">
      <c r="A42" s="2"/>
      <c r="B42" s="2"/>
      <c r="C42" s="2" t="s">
        <v>208</v>
      </c>
      <c r="D42" s="2"/>
      <c r="E42" s="2"/>
      <c r="F42" s="2"/>
      <c r="G42" s="38"/>
      <c r="H42" s="38"/>
      <c r="I42" s="38"/>
      <c r="J42" s="38"/>
      <c r="K42" s="38">
        <v>10</v>
      </c>
      <c r="L42" s="38"/>
      <c r="M42" s="38"/>
      <c r="N42" s="38"/>
      <c r="O42" s="38"/>
      <c r="P42" s="38"/>
      <c r="Q42" s="38"/>
      <c r="R42" s="38"/>
      <c r="S42" s="37">
        <f t="shared" si="5"/>
        <v>10</v>
      </c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"/>
      <c r="BT42" s="37"/>
    </row>
    <row r="43" spans="1:72" ht="15.75" customHeight="1">
      <c r="A43" s="2"/>
      <c r="B43" s="2"/>
      <c r="C43" s="32" t="s">
        <v>209</v>
      </c>
      <c r="D43" s="32"/>
      <c r="E43" s="32"/>
      <c r="F43" s="32"/>
      <c r="G43" s="73"/>
      <c r="H43" s="73">
        <v>0</v>
      </c>
      <c r="I43" s="73"/>
      <c r="J43" s="73"/>
      <c r="K43" s="73">
        <v>0</v>
      </c>
      <c r="L43" s="73"/>
      <c r="M43" s="73"/>
      <c r="N43" s="73"/>
      <c r="O43" s="73"/>
      <c r="P43" s="73">
        <v>10</v>
      </c>
      <c r="Q43" s="73"/>
      <c r="R43" s="73"/>
      <c r="S43" s="74">
        <f t="shared" si="5"/>
        <v>10</v>
      </c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"/>
      <c r="BT43" s="37"/>
    </row>
    <row r="44" spans="1:72" ht="15.75" customHeight="1">
      <c r="A44" s="2"/>
      <c r="B44" s="2"/>
      <c r="C44" s="2"/>
      <c r="D44" s="2"/>
      <c r="E44" s="2"/>
      <c r="F44" s="2"/>
      <c r="G44" s="38">
        <v>0</v>
      </c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</row>
    <row r="45" spans="1:72" ht="15.75" customHeight="1">
      <c r="A45" s="1"/>
      <c r="B45" s="1" t="str">
        <f>CONCATENATE("Total ",A7)</f>
        <v xml:space="preserve">Total Brewed (bbls) </v>
      </c>
      <c r="C45" s="1"/>
      <c r="D45" s="1"/>
      <c r="E45" s="1"/>
      <c r="F45" s="1"/>
      <c r="G45" s="44">
        <f t="shared" ref="G45:BT45" si="6">SUM(G8:G43)</f>
        <v>50</v>
      </c>
      <c r="H45" s="44">
        <f t="shared" si="6"/>
        <v>40</v>
      </c>
      <c r="I45" s="44">
        <f t="shared" si="6"/>
        <v>50</v>
      </c>
      <c r="J45" s="44">
        <f t="shared" si="6"/>
        <v>50</v>
      </c>
      <c r="K45" s="44">
        <f>SUM(K8:K43)</f>
        <v>50</v>
      </c>
      <c r="L45" s="44">
        <f t="shared" si="6"/>
        <v>50</v>
      </c>
      <c r="M45" s="44">
        <f t="shared" si="6"/>
        <v>50</v>
      </c>
      <c r="N45" s="44">
        <f t="shared" si="6"/>
        <v>40</v>
      </c>
      <c r="O45" s="44">
        <f t="shared" si="6"/>
        <v>50</v>
      </c>
      <c r="P45" s="44">
        <f t="shared" si="6"/>
        <v>50</v>
      </c>
      <c r="Q45" s="44">
        <f t="shared" si="6"/>
        <v>50</v>
      </c>
      <c r="R45" s="44">
        <f t="shared" si="6"/>
        <v>50</v>
      </c>
      <c r="S45" s="44">
        <f t="shared" si="6"/>
        <v>580</v>
      </c>
      <c r="T45" s="44">
        <f t="shared" si="6"/>
        <v>0</v>
      </c>
      <c r="U45" s="44">
        <f t="shared" si="6"/>
        <v>0</v>
      </c>
      <c r="V45" s="44">
        <f t="shared" si="6"/>
        <v>0</v>
      </c>
      <c r="W45" s="44">
        <f t="shared" si="6"/>
        <v>0</v>
      </c>
      <c r="X45" s="44">
        <f t="shared" si="6"/>
        <v>0</v>
      </c>
      <c r="Y45" s="44">
        <f t="shared" si="6"/>
        <v>0</v>
      </c>
      <c r="Z45" s="44">
        <f t="shared" si="6"/>
        <v>0</v>
      </c>
      <c r="AA45" s="44">
        <f t="shared" si="6"/>
        <v>0</v>
      </c>
      <c r="AB45" s="44">
        <f t="shared" si="6"/>
        <v>0</v>
      </c>
      <c r="AC45" s="44">
        <f t="shared" si="6"/>
        <v>0</v>
      </c>
      <c r="AD45" s="44">
        <f t="shared" si="6"/>
        <v>0</v>
      </c>
      <c r="AE45" s="44">
        <f t="shared" si="6"/>
        <v>0</v>
      </c>
      <c r="AF45" s="44">
        <f t="shared" si="6"/>
        <v>0</v>
      </c>
      <c r="AG45" s="44">
        <f t="shared" si="6"/>
        <v>0</v>
      </c>
      <c r="AH45" s="44">
        <f t="shared" si="6"/>
        <v>0</v>
      </c>
      <c r="AI45" s="44">
        <f t="shared" si="6"/>
        <v>0</v>
      </c>
      <c r="AJ45" s="44">
        <f t="shared" si="6"/>
        <v>0</v>
      </c>
      <c r="AK45" s="44">
        <f t="shared" si="6"/>
        <v>0</v>
      </c>
      <c r="AL45" s="44">
        <f t="shared" si="6"/>
        <v>0</v>
      </c>
      <c r="AM45" s="44">
        <f t="shared" si="6"/>
        <v>0</v>
      </c>
      <c r="AN45" s="44">
        <f t="shared" si="6"/>
        <v>0</v>
      </c>
      <c r="AO45" s="44">
        <f t="shared" si="6"/>
        <v>0</v>
      </c>
      <c r="AP45" s="44">
        <f t="shared" si="6"/>
        <v>0</v>
      </c>
      <c r="AQ45" s="44">
        <f t="shared" si="6"/>
        <v>0</v>
      </c>
      <c r="AR45" s="44">
        <f t="shared" si="6"/>
        <v>0</v>
      </c>
      <c r="AS45" s="44">
        <f t="shared" si="6"/>
        <v>0</v>
      </c>
      <c r="AT45" s="44">
        <f t="shared" si="6"/>
        <v>0</v>
      </c>
      <c r="AU45" s="44">
        <f t="shared" si="6"/>
        <v>0</v>
      </c>
      <c r="AV45" s="44">
        <f t="shared" si="6"/>
        <v>0</v>
      </c>
      <c r="AW45" s="44">
        <f t="shared" si="6"/>
        <v>0</v>
      </c>
      <c r="AX45" s="44">
        <f t="shared" si="6"/>
        <v>0</v>
      </c>
      <c r="AY45" s="44">
        <f t="shared" si="6"/>
        <v>0</v>
      </c>
      <c r="AZ45" s="44">
        <f t="shared" si="6"/>
        <v>0</v>
      </c>
      <c r="BA45" s="44">
        <f t="shared" si="6"/>
        <v>0</v>
      </c>
      <c r="BB45" s="44">
        <f t="shared" si="6"/>
        <v>0</v>
      </c>
      <c r="BC45" s="44">
        <f t="shared" si="6"/>
        <v>0</v>
      </c>
      <c r="BD45" s="44">
        <f t="shared" si="6"/>
        <v>0</v>
      </c>
      <c r="BE45" s="44">
        <f t="shared" si="6"/>
        <v>0</v>
      </c>
      <c r="BF45" s="44">
        <f t="shared" si="6"/>
        <v>0</v>
      </c>
      <c r="BG45" s="44">
        <f t="shared" si="6"/>
        <v>0</v>
      </c>
      <c r="BH45" s="44">
        <f t="shared" si="6"/>
        <v>0</v>
      </c>
      <c r="BI45" s="44">
        <f t="shared" si="6"/>
        <v>0</v>
      </c>
      <c r="BJ45" s="44">
        <f t="shared" si="6"/>
        <v>0</v>
      </c>
      <c r="BK45" s="44">
        <f t="shared" si="6"/>
        <v>0</v>
      </c>
      <c r="BL45" s="44">
        <f t="shared" si="6"/>
        <v>0</v>
      </c>
      <c r="BM45" s="44">
        <f t="shared" si="6"/>
        <v>0</v>
      </c>
      <c r="BN45" s="44">
        <f t="shared" si="6"/>
        <v>0</v>
      </c>
      <c r="BO45" s="44">
        <f t="shared" si="6"/>
        <v>0</v>
      </c>
      <c r="BP45" s="44">
        <f t="shared" si="6"/>
        <v>0</v>
      </c>
      <c r="BQ45" s="44">
        <f t="shared" si="6"/>
        <v>0</v>
      </c>
      <c r="BR45" s="44">
        <f t="shared" si="6"/>
        <v>0</v>
      </c>
      <c r="BS45" s="44">
        <f t="shared" si="6"/>
        <v>0</v>
      </c>
      <c r="BT45" s="44">
        <f t="shared" si="6"/>
        <v>50</v>
      </c>
    </row>
    <row r="46" spans="1:72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1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1"/>
    </row>
    <row r="47" spans="1:72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1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1"/>
    </row>
    <row r="48" spans="1:72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1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1"/>
    </row>
    <row r="49" spans="1:72" ht="15.75" customHeight="1">
      <c r="A49" s="2"/>
      <c r="B49" s="1" t="s">
        <v>210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1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1"/>
    </row>
    <row r="50" spans="1:72" ht="15.75" customHeight="1">
      <c r="A50" s="2"/>
      <c r="B50" s="75" t="s">
        <v>211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1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1"/>
    </row>
    <row r="51" spans="1:72" ht="15.75" customHeight="1">
      <c r="A51" s="2"/>
      <c r="B51" s="63"/>
      <c r="C51" s="2" t="s">
        <v>212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1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1"/>
    </row>
    <row r="52" spans="1:72" ht="15.75" customHeight="1">
      <c r="A52" s="2"/>
      <c r="B52" s="63"/>
      <c r="C52" s="2"/>
      <c r="D52" s="2" t="s">
        <v>213</v>
      </c>
      <c r="E52" s="2"/>
      <c r="F52" s="2"/>
      <c r="G52" s="76">
        <v>6.75</v>
      </c>
      <c r="H52" s="77">
        <f t="shared" ref="H52:R52" si="7">G55</f>
        <v>6.75</v>
      </c>
      <c r="I52" s="77">
        <f t="shared" si="7"/>
        <v>46.75</v>
      </c>
      <c r="J52" s="77">
        <f t="shared" si="7"/>
        <v>96.75</v>
      </c>
      <c r="K52" s="77">
        <f t="shared" si="7"/>
        <v>146.75</v>
      </c>
      <c r="L52" s="77">
        <f t="shared" si="7"/>
        <v>196.75</v>
      </c>
      <c r="M52" s="77">
        <f t="shared" si="7"/>
        <v>246.75</v>
      </c>
      <c r="N52" s="77">
        <f t="shared" si="7"/>
        <v>296.75</v>
      </c>
      <c r="O52" s="77">
        <f t="shared" si="7"/>
        <v>336.75</v>
      </c>
      <c r="P52" s="77">
        <f t="shared" si="7"/>
        <v>386.75</v>
      </c>
      <c r="Q52" s="77">
        <f t="shared" si="7"/>
        <v>436.75</v>
      </c>
      <c r="R52" s="77">
        <f t="shared" si="7"/>
        <v>486.75</v>
      </c>
      <c r="S52" s="78">
        <f>G52</f>
        <v>6.75</v>
      </c>
      <c r="T52" s="77">
        <f t="shared" ref="T52:AE52" si="8">R55</f>
        <v>536.75</v>
      </c>
      <c r="U52" s="77">
        <f t="shared" si="8"/>
        <v>536.75</v>
      </c>
      <c r="V52" s="77">
        <f t="shared" si="8"/>
        <v>356.75</v>
      </c>
      <c r="W52" s="77">
        <f t="shared" si="8"/>
        <v>356.75</v>
      </c>
      <c r="X52" s="77">
        <f t="shared" si="8"/>
        <v>176.75</v>
      </c>
      <c r="Y52" s="77">
        <f t="shared" si="8"/>
        <v>176.75</v>
      </c>
      <c r="Z52" s="77">
        <f t="shared" si="8"/>
        <v>-3.25</v>
      </c>
      <c r="AA52" s="77">
        <f t="shared" si="8"/>
        <v>-3.25</v>
      </c>
      <c r="AB52" s="77">
        <f t="shared" si="8"/>
        <v>-183.25</v>
      </c>
      <c r="AC52" s="77">
        <f t="shared" si="8"/>
        <v>-183.25</v>
      </c>
      <c r="AD52" s="77">
        <f t="shared" si="8"/>
        <v>-363.25</v>
      </c>
      <c r="AE52" s="77">
        <f t="shared" si="8"/>
        <v>-363.25</v>
      </c>
      <c r="AF52" s="78">
        <f>T52</f>
        <v>536.75</v>
      </c>
      <c r="AG52" s="77">
        <f t="shared" ref="AG52:AR52" si="9">AE55</f>
        <v>-543.25</v>
      </c>
      <c r="AH52" s="77">
        <f t="shared" si="9"/>
        <v>-1623.25</v>
      </c>
      <c r="AI52" s="77">
        <f t="shared" si="9"/>
        <v>-783.25</v>
      </c>
      <c r="AJ52" s="77">
        <f t="shared" si="9"/>
        <v>-1863.25</v>
      </c>
      <c r="AK52" s="77">
        <f t="shared" si="9"/>
        <v>-1023.25</v>
      </c>
      <c r="AL52" s="77">
        <f t="shared" si="9"/>
        <v>-2103.25</v>
      </c>
      <c r="AM52" s="77">
        <f t="shared" si="9"/>
        <v>-1263.25</v>
      </c>
      <c r="AN52" s="77">
        <f t="shared" si="9"/>
        <v>-2343.25</v>
      </c>
      <c r="AO52" s="77">
        <f t="shared" si="9"/>
        <v>-1503.25</v>
      </c>
      <c r="AP52" s="77">
        <f t="shared" si="9"/>
        <v>-2583.25</v>
      </c>
      <c r="AQ52" s="77">
        <f t="shared" si="9"/>
        <v>-1743.25</v>
      </c>
      <c r="AR52" s="77">
        <f t="shared" si="9"/>
        <v>-2823.25</v>
      </c>
      <c r="AS52" s="78">
        <f>AG52</f>
        <v>-543.25</v>
      </c>
      <c r="AT52" s="77">
        <f t="shared" ref="AT52:BE52" si="10">AR55</f>
        <v>-3063.25</v>
      </c>
      <c r="AU52" s="77">
        <f t="shared" si="10"/>
        <v>-3423.25</v>
      </c>
      <c r="AV52" s="77">
        <f t="shared" si="10"/>
        <v>-3403.25</v>
      </c>
      <c r="AW52" s="77">
        <f t="shared" si="10"/>
        <v>-3763.25</v>
      </c>
      <c r="AX52" s="77">
        <f t="shared" si="10"/>
        <v>-3743.25</v>
      </c>
      <c r="AY52" s="77">
        <f t="shared" si="10"/>
        <v>-4103.25</v>
      </c>
      <c r="AZ52" s="77">
        <f t="shared" si="10"/>
        <v>-4083.25</v>
      </c>
      <c r="BA52" s="77">
        <f t="shared" si="10"/>
        <v>-4443.25</v>
      </c>
      <c r="BB52" s="77">
        <f t="shared" si="10"/>
        <v>-4423.25</v>
      </c>
      <c r="BC52" s="77">
        <f t="shared" si="10"/>
        <v>-4783.25</v>
      </c>
      <c r="BD52" s="77">
        <f t="shared" si="10"/>
        <v>-4763.25</v>
      </c>
      <c r="BE52" s="77">
        <f t="shared" si="10"/>
        <v>-5123.25</v>
      </c>
      <c r="BF52" s="78">
        <f>AT52</f>
        <v>-3063.25</v>
      </c>
      <c r="BG52" s="77">
        <f t="shared" ref="BG52:BR52" si="11">BE55</f>
        <v>-5463.25</v>
      </c>
      <c r="BH52" s="77">
        <f t="shared" si="11"/>
        <v>-7143.25</v>
      </c>
      <c r="BI52" s="77">
        <f t="shared" si="11"/>
        <v>-5863.25</v>
      </c>
      <c r="BJ52" s="77">
        <f t="shared" si="11"/>
        <v>-7543.25</v>
      </c>
      <c r="BK52" s="77">
        <f t="shared" si="11"/>
        <v>-6263.25</v>
      </c>
      <c r="BL52" s="77">
        <f t="shared" si="11"/>
        <v>-7943.25</v>
      </c>
      <c r="BM52" s="77">
        <f t="shared" si="11"/>
        <v>-6663.25</v>
      </c>
      <c r="BN52" s="77">
        <f t="shared" si="11"/>
        <v>-8343.25</v>
      </c>
      <c r="BO52" s="77">
        <f t="shared" si="11"/>
        <v>-7063.25</v>
      </c>
      <c r="BP52" s="77">
        <f t="shared" si="11"/>
        <v>-8743.25</v>
      </c>
      <c r="BQ52" s="77">
        <f t="shared" si="11"/>
        <v>-7463.25</v>
      </c>
      <c r="BR52" s="77">
        <f t="shared" si="11"/>
        <v>-9143.25</v>
      </c>
      <c r="BS52" s="78">
        <f>BG52</f>
        <v>-5463.25</v>
      </c>
      <c r="BT52" s="78">
        <f>G52</f>
        <v>6.75</v>
      </c>
    </row>
    <row r="53" spans="1:72" ht="15.75" customHeight="1">
      <c r="A53" s="2"/>
      <c r="B53" s="79"/>
      <c r="C53" s="2"/>
      <c r="D53" s="2" t="s">
        <v>214</v>
      </c>
      <c r="E53" s="2"/>
      <c r="F53" s="2"/>
      <c r="G53" s="80">
        <f t="shared" ref="G53:R53" si="12">G45</f>
        <v>50</v>
      </c>
      <c r="H53" s="80">
        <f t="shared" si="12"/>
        <v>40</v>
      </c>
      <c r="I53" s="80">
        <f t="shared" si="12"/>
        <v>50</v>
      </c>
      <c r="J53" s="80">
        <f t="shared" si="12"/>
        <v>50</v>
      </c>
      <c r="K53" s="80">
        <f t="shared" si="12"/>
        <v>50</v>
      </c>
      <c r="L53" s="80">
        <f t="shared" si="12"/>
        <v>50</v>
      </c>
      <c r="M53" s="80">
        <f t="shared" si="12"/>
        <v>50</v>
      </c>
      <c r="N53" s="80">
        <f t="shared" si="12"/>
        <v>40</v>
      </c>
      <c r="O53" s="80">
        <f t="shared" si="12"/>
        <v>50</v>
      </c>
      <c r="P53" s="80">
        <f t="shared" si="12"/>
        <v>50</v>
      </c>
      <c r="Q53" s="80">
        <f t="shared" si="12"/>
        <v>50</v>
      </c>
      <c r="R53" s="80">
        <f t="shared" si="12"/>
        <v>50</v>
      </c>
      <c r="S53" s="78">
        <f>SUM(G53:R53)</f>
        <v>580</v>
      </c>
      <c r="T53" s="80">
        <f t="shared" ref="T53:AE53" si="13">T45</f>
        <v>0</v>
      </c>
      <c r="U53" s="80">
        <f t="shared" si="13"/>
        <v>0</v>
      </c>
      <c r="V53" s="80">
        <f t="shared" si="13"/>
        <v>0</v>
      </c>
      <c r="W53" s="80">
        <f t="shared" si="13"/>
        <v>0</v>
      </c>
      <c r="X53" s="80">
        <f t="shared" si="13"/>
        <v>0</v>
      </c>
      <c r="Y53" s="80">
        <f t="shared" si="13"/>
        <v>0</v>
      </c>
      <c r="Z53" s="80">
        <f t="shared" si="13"/>
        <v>0</v>
      </c>
      <c r="AA53" s="80">
        <f t="shared" si="13"/>
        <v>0</v>
      </c>
      <c r="AB53" s="80">
        <f t="shared" si="13"/>
        <v>0</v>
      </c>
      <c r="AC53" s="80">
        <f t="shared" si="13"/>
        <v>0</v>
      </c>
      <c r="AD53" s="80">
        <f t="shared" si="13"/>
        <v>0</v>
      </c>
      <c r="AE53" s="80">
        <f t="shared" si="13"/>
        <v>0</v>
      </c>
      <c r="AF53" s="78">
        <f>SUM(T53:AE53)</f>
        <v>0</v>
      </c>
      <c r="AG53" s="80">
        <f t="shared" ref="AG53:AR53" si="14">AG45</f>
        <v>0</v>
      </c>
      <c r="AH53" s="80">
        <f t="shared" si="14"/>
        <v>0</v>
      </c>
      <c r="AI53" s="80">
        <f t="shared" si="14"/>
        <v>0</v>
      </c>
      <c r="AJ53" s="80">
        <f t="shared" si="14"/>
        <v>0</v>
      </c>
      <c r="AK53" s="80">
        <f t="shared" si="14"/>
        <v>0</v>
      </c>
      <c r="AL53" s="80">
        <f t="shared" si="14"/>
        <v>0</v>
      </c>
      <c r="AM53" s="80">
        <f t="shared" si="14"/>
        <v>0</v>
      </c>
      <c r="AN53" s="80">
        <f t="shared" si="14"/>
        <v>0</v>
      </c>
      <c r="AO53" s="80">
        <f t="shared" si="14"/>
        <v>0</v>
      </c>
      <c r="AP53" s="80">
        <f t="shared" si="14"/>
        <v>0</v>
      </c>
      <c r="AQ53" s="80">
        <f t="shared" si="14"/>
        <v>0</v>
      </c>
      <c r="AR53" s="80">
        <f t="shared" si="14"/>
        <v>0</v>
      </c>
      <c r="AS53" s="78">
        <f>SUM(AG53:AR53)</f>
        <v>0</v>
      </c>
      <c r="AT53" s="80">
        <f t="shared" ref="AT53:BE53" si="15">AT45</f>
        <v>0</v>
      </c>
      <c r="AU53" s="80">
        <f t="shared" si="15"/>
        <v>0</v>
      </c>
      <c r="AV53" s="80">
        <f t="shared" si="15"/>
        <v>0</v>
      </c>
      <c r="AW53" s="80">
        <f t="shared" si="15"/>
        <v>0</v>
      </c>
      <c r="AX53" s="80">
        <f t="shared" si="15"/>
        <v>0</v>
      </c>
      <c r="AY53" s="80">
        <f t="shared" si="15"/>
        <v>0</v>
      </c>
      <c r="AZ53" s="80">
        <f t="shared" si="15"/>
        <v>0</v>
      </c>
      <c r="BA53" s="80">
        <f t="shared" si="15"/>
        <v>0</v>
      </c>
      <c r="BB53" s="80">
        <f t="shared" si="15"/>
        <v>0</v>
      </c>
      <c r="BC53" s="80">
        <f t="shared" si="15"/>
        <v>0</v>
      </c>
      <c r="BD53" s="80">
        <f t="shared" si="15"/>
        <v>0</v>
      </c>
      <c r="BE53" s="80">
        <f t="shared" si="15"/>
        <v>0</v>
      </c>
      <c r="BF53" s="78">
        <f>SUM(AT53:BE53)</f>
        <v>0</v>
      </c>
      <c r="BG53" s="80">
        <f t="shared" ref="BG53:BR53" si="16">BG45</f>
        <v>0</v>
      </c>
      <c r="BH53" s="80">
        <f t="shared" si="16"/>
        <v>0</v>
      </c>
      <c r="BI53" s="80">
        <f t="shared" si="16"/>
        <v>0</v>
      </c>
      <c r="BJ53" s="80">
        <f t="shared" si="16"/>
        <v>0</v>
      </c>
      <c r="BK53" s="80">
        <f t="shared" si="16"/>
        <v>0</v>
      </c>
      <c r="BL53" s="80">
        <f t="shared" si="16"/>
        <v>0</v>
      </c>
      <c r="BM53" s="80">
        <f t="shared" si="16"/>
        <v>0</v>
      </c>
      <c r="BN53" s="80">
        <f t="shared" si="16"/>
        <v>0</v>
      </c>
      <c r="BO53" s="80">
        <f t="shared" si="16"/>
        <v>0</v>
      </c>
      <c r="BP53" s="80">
        <f t="shared" si="16"/>
        <v>0</v>
      </c>
      <c r="BQ53" s="80">
        <f t="shared" si="16"/>
        <v>0</v>
      </c>
      <c r="BR53" s="80">
        <f t="shared" si="16"/>
        <v>0</v>
      </c>
      <c r="BS53" s="78">
        <f>SUM(BG53:BR53)</f>
        <v>0</v>
      </c>
      <c r="BT53" s="37">
        <f>S53+AF53+AS53+BF53+BS53</f>
        <v>580</v>
      </c>
    </row>
    <row r="54" spans="1:72" ht="15.75" customHeight="1">
      <c r="A54" s="2"/>
      <c r="B54" s="79"/>
      <c r="C54" s="2"/>
      <c r="D54" s="2" t="s">
        <v>215</v>
      </c>
      <c r="E54" s="2"/>
      <c r="F54" s="2"/>
      <c r="G54" s="81">
        <f t="shared" ref="G54:R54" si="17">-G56-G57-G58</f>
        <v>-50</v>
      </c>
      <c r="H54" s="81">
        <f t="shared" si="17"/>
        <v>0</v>
      </c>
      <c r="I54" s="81">
        <f t="shared" si="17"/>
        <v>0</v>
      </c>
      <c r="J54" s="81">
        <f t="shared" si="17"/>
        <v>0</v>
      </c>
      <c r="K54" s="81">
        <f t="shared" si="17"/>
        <v>0</v>
      </c>
      <c r="L54" s="81">
        <f t="shared" si="17"/>
        <v>0</v>
      </c>
      <c r="M54" s="81">
        <f t="shared" si="17"/>
        <v>0</v>
      </c>
      <c r="N54" s="81">
        <f t="shared" si="17"/>
        <v>0</v>
      </c>
      <c r="O54" s="81">
        <f t="shared" si="17"/>
        <v>0</v>
      </c>
      <c r="P54" s="81">
        <f t="shared" si="17"/>
        <v>0</v>
      </c>
      <c r="Q54" s="81">
        <f t="shared" si="17"/>
        <v>0</v>
      </c>
      <c r="R54" s="81">
        <f t="shared" si="17"/>
        <v>0</v>
      </c>
      <c r="S54" s="78">
        <f>SUM(G54:R54)</f>
        <v>-50</v>
      </c>
      <c r="T54" s="81">
        <f t="shared" ref="T54:AE54" si="18">-T56-T57-T58</f>
        <v>-180</v>
      </c>
      <c r="U54" s="81">
        <f t="shared" si="18"/>
        <v>-180</v>
      </c>
      <c r="V54" s="81">
        <f t="shared" si="18"/>
        <v>-180</v>
      </c>
      <c r="W54" s="81">
        <f t="shared" si="18"/>
        <v>-180</v>
      </c>
      <c r="X54" s="81">
        <f t="shared" si="18"/>
        <v>-180</v>
      </c>
      <c r="Y54" s="81">
        <f t="shared" si="18"/>
        <v>-180</v>
      </c>
      <c r="Z54" s="81">
        <f t="shared" si="18"/>
        <v>-180</v>
      </c>
      <c r="AA54" s="81">
        <f t="shared" si="18"/>
        <v>-180</v>
      </c>
      <c r="AB54" s="81">
        <f t="shared" si="18"/>
        <v>-180</v>
      </c>
      <c r="AC54" s="81">
        <f t="shared" si="18"/>
        <v>-180</v>
      </c>
      <c r="AD54" s="81">
        <f t="shared" si="18"/>
        <v>-180</v>
      </c>
      <c r="AE54" s="81">
        <f t="shared" si="18"/>
        <v>-180</v>
      </c>
      <c r="AF54" s="78">
        <f>SUM(T54:AE54)</f>
        <v>-2160</v>
      </c>
      <c r="AG54" s="81">
        <f t="shared" ref="AG54:AR54" si="19">-AG56-AG57-AG58</f>
        <v>-240</v>
      </c>
      <c r="AH54" s="81">
        <f t="shared" si="19"/>
        <v>-240</v>
      </c>
      <c r="AI54" s="81">
        <f t="shared" si="19"/>
        <v>-240</v>
      </c>
      <c r="AJ54" s="81">
        <f t="shared" si="19"/>
        <v>-240</v>
      </c>
      <c r="AK54" s="81">
        <f t="shared" si="19"/>
        <v>-240</v>
      </c>
      <c r="AL54" s="81">
        <f t="shared" si="19"/>
        <v>-240</v>
      </c>
      <c r="AM54" s="81">
        <f t="shared" si="19"/>
        <v>-240</v>
      </c>
      <c r="AN54" s="81">
        <f t="shared" si="19"/>
        <v>-240</v>
      </c>
      <c r="AO54" s="81">
        <f t="shared" si="19"/>
        <v>-240</v>
      </c>
      <c r="AP54" s="81">
        <f t="shared" si="19"/>
        <v>-240</v>
      </c>
      <c r="AQ54" s="81">
        <f t="shared" si="19"/>
        <v>-240</v>
      </c>
      <c r="AR54" s="81">
        <f t="shared" si="19"/>
        <v>-240</v>
      </c>
      <c r="AS54" s="78">
        <f>SUM(AG54:AR54)</f>
        <v>-2880</v>
      </c>
      <c r="AT54" s="81">
        <f t="shared" ref="AT54:BE54" si="20">-AT56-AT57-AT58</f>
        <v>-340</v>
      </c>
      <c r="AU54" s="81">
        <f t="shared" si="20"/>
        <v>-340</v>
      </c>
      <c r="AV54" s="81">
        <f t="shared" si="20"/>
        <v>-340</v>
      </c>
      <c r="AW54" s="81">
        <f t="shared" si="20"/>
        <v>-340</v>
      </c>
      <c r="AX54" s="81">
        <f t="shared" si="20"/>
        <v>-340</v>
      </c>
      <c r="AY54" s="81">
        <f t="shared" si="20"/>
        <v>-340</v>
      </c>
      <c r="AZ54" s="81">
        <f t="shared" si="20"/>
        <v>-340</v>
      </c>
      <c r="BA54" s="81">
        <f t="shared" si="20"/>
        <v>-340</v>
      </c>
      <c r="BB54" s="81">
        <f t="shared" si="20"/>
        <v>-340</v>
      </c>
      <c r="BC54" s="81">
        <f t="shared" si="20"/>
        <v>-340</v>
      </c>
      <c r="BD54" s="81">
        <f t="shared" si="20"/>
        <v>-340</v>
      </c>
      <c r="BE54" s="81">
        <f t="shared" si="20"/>
        <v>-340</v>
      </c>
      <c r="BF54" s="78">
        <f>SUM(AT54:BE54)</f>
        <v>-4080</v>
      </c>
      <c r="BG54" s="81">
        <f t="shared" ref="BG54:BR54" si="21">-BG56-BG57-BG58</f>
        <v>-400</v>
      </c>
      <c r="BH54" s="81">
        <f t="shared" si="21"/>
        <v>-400</v>
      </c>
      <c r="BI54" s="81">
        <f t="shared" si="21"/>
        <v>-400</v>
      </c>
      <c r="BJ54" s="81">
        <f t="shared" si="21"/>
        <v>-400</v>
      </c>
      <c r="BK54" s="81">
        <f t="shared" si="21"/>
        <v>-400</v>
      </c>
      <c r="BL54" s="81">
        <f t="shared" si="21"/>
        <v>-400</v>
      </c>
      <c r="BM54" s="81">
        <f t="shared" si="21"/>
        <v>-400</v>
      </c>
      <c r="BN54" s="81">
        <f t="shared" si="21"/>
        <v>-400</v>
      </c>
      <c r="BO54" s="81">
        <f t="shared" si="21"/>
        <v>-400</v>
      </c>
      <c r="BP54" s="81">
        <f t="shared" si="21"/>
        <v>-400</v>
      </c>
      <c r="BQ54" s="81">
        <f t="shared" si="21"/>
        <v>-400</v>
      </c>
      <c r="BR54" s="81">
        <f t="shared" si="21"/>
        <v>-400</v>
      </c>
      <c r="BS54" s="78">
        <f>SUM(BG54:BR54)</f>
        <v>-4800</v>
      </c>
      <c r="BT54" s="37">
        <f>S54+AF54+AS54+BF54+BS54</f>
        <v>-13970</v>
      </c>
    </row>
    <row r="55" spans="1:72" ht="15.75" customHeight="1">
      <c r="A55" s="82"/>
      <c r="B55" s="83"/>
      <c r="C55" s="82"/>
      <c r="D55" s="82"/>
      <c r="E55" s="82" t="s">
        <v>216</v>
      </c>
      <c r="F55" s="82"/>
      <c r="G55" s="84">
        <f t="shared" ref="G55:BT55" si="22">SUM(G52:G54)</f>
        <v>6.75</v>
      </c>
      <c r="H55" s="84">
        <f t="shared" si="22"/>
        <v>46.75</v>
      </c>
      <c r="I55" s="84">
        <f t="shared" si="22"/>
        <v>96.75</v>
      </c>
      <c r="J55" s="84">
        <f t="shared" si="22"/>
        <v>146.75</v>
      </c>
      <c r="K55" s="84">
        <f t="shared" si="22"/>
        <v>196.75</v>
      </c>
      <c r="L55" s="84">
        <f t="shared" si="22"/>
        <v>246.75</v>
      </c>
      <c r="M55" s="84">
        <f t="shared" si="22"/>
        <v>296.75</v>
      </c>
      <c r="N55" s="84">
        <f t="shared" si="22"/>
        <v>336.75</v>
      </c>
      <c r="O55" s="84">
        <f t="shared" si="22"/>
        <v>386.75</v>
      </c>
      <c r="P55" s="84">
        <f t="shared" si="22"/>
        <v>436.75</v>
      </c>
      <c r="Q55" s="84">
        <f t="shared" si="22"/>
        <v>486.75</v>
      </c>
      <c r="R55" s="84">
        <f t="shared" si="22"/>
        <v>536.75</v>
      </c>
      <c r="S55" s="85">
        <f t="shared" si="22"/>
        <v>536.75</v>
      </c>
      <c r="T55" s="84">
        <f t="shared" si="22"/>
        <v>356.75</v>
      </c>
      <c r="U55" s="84">
        <f t="shared" si="22"/>
        <v>356.75</v>
      </c>
      <c r="V55" s="84">
        <f t="shared" si="22"/>
        <v>176.75</v>
      </c>
      <c r="W55" s="84">
        <f t="shared" si="22"/>
        <v>176.75</v>
      </c>
      <c r="X55" s="84">
        <f t="shared" si="22"/>
        <v>-3.25</v>
      </c>
      <c r="Y55" s="84">
        <f t="shared" si="22"/>
        <v>-3.25</v>
      </c>
      <c r="Z55" s="84">
        <f t="shared" si="22"/>
        <v>-183.25</v>
      </c>
      <c r="AA55" s="84">
        <f t="shared" si="22"/>
        <v>-183.25</v>
      </c>
      <c r="AB55" s="84">
        <f t="shared" si="22"/>
        <v>-363.25</v>
      </c>
      <c r="AC55" s="84">
        <f t="shared" si="22"/>
        <v>-363.25</v>
      </c>
      <c r="AD55" s="84">
        <f t="shared" si="22"/>
        <v>-543.25</v>
      </c>
      <c r="AE55" s="84">
        <f t="shared" si="22"/>
        <v>-543.25</v>
      </c>
      <c r="AF55" s="85">
        <f t="shared" si="22"/>
        <v>-1623.25</v>
      </c>
      <c r="AG55" s="84">
        <f t="shared" si="22"/>
        <v>-783.25</v>
      </c>
      <c r="AH55" s="84">
        <f t="shared" si="22"/>
        <v>-1863.25</v>
      </c>
      <c r="AI55" s="84">
        <f t="shared" si="22"/>
        <v>-1023.25</v>
      </c>
      <c r="AJ55" s="84">
        <f t="shared" si="22"/>
        <v>-2103.25</v>
      </c>
      <c r="AK55" s="84">
        <f t="shared" si="22"/>
        <v>-1263.25</v>
      </c>
      <c r="AL55" s="84">
        <f t="shared" si="22"/>
        <v>-2343.25</v>
      </c>
      <c r="AM55" s="84">
        <f t="shared" si="22"/>
        <v>-1503.25</v>
      </c>
      <c r="AN55" s="84">
        <f t="shared" si="22"/>
        <v>-2583.25</v>
      </c>
      <c r="AO55" s="84">
        <f t="shared" si="22"/>
        <v>-1743.25</v>
      </c>
      <c r="AP55" s="84">
        <f t="shared" si="22"/>
        <v>-2823.25</v>
      </c>
      <c r="AQ55" s="84">
        <f t="shared" si="22"/>
        <v>-1983.25</v>
      </c>
      <c r="AR55" s="84">
        <f t="shared" si="22"/>
        <v>-3063.25</v>
      </c>
      <c r="AS55" s="85">
        <f t="shared" si="22"/>
        <v>-3423.25</v>
      </c>
      <c r="AT55" s="84">
        <f t="shared" si="22"/>
        <v>-3403.25</v>
      </c>
      <c r="AU55" s="84">
        <f t="shared" si="22"/>
        <v>-3763.25</v>
      </c>
      <c r="AV55" s="84">
        <f t="shared" si="22"/>
        <v>-3743.25</v>
      </c>
      <c r="AW55" s="84">
        <f t="shared" si="22"/>
        <v>-4103.25</v>
      </c>
      <c r="AX55" s="84">
        <f t="shared" si="22"/>
        <v>-4083.25</v>
      </c>
      <c r="AY55" s="84">
        <f t="shared" si="22"/>
        <v>-4443.25</v>
      </c>
      <c r="AZ55" s="84">
        <f t="shared" si="22"/>
        <v>-4423.25</v>
      </c>
      <c r="BA55" s="84">
        <f t="shared" si="22"/>
        <v>-4783.25</v>
      </c>
      <c r="BB55" s="84">
        <f t="shared" si="22"/>
        <v>-4763.25</v>
      </c>
      <c r="BC55" s="84">
        <f t="shared" si="22"/>
        <v>-5123.25</v>
      </c>
      <c r="BD55" s="84">
        <f t="shared" si="22"/>
        <v>-5103.25</v>
      </c>
      <c r="BE55" s="84">
        <f t="shared" si="22"/>
        <v>-5463.25</v>
      </c>
      <c r="BF55" s="85">
        <f t="shared" si="22"/>
        <v>-7143.25</v>
      </c>
      <c r="BG55" s="84">
        <f t="shared" si="22"/>
        <v>-5863.25</v>
      </c>
      <c r="BH55" s="84">
        <f t="shared" si="22"/>
        <v>-7543.25</v>
      </c>
      <c r="BI55" s="84">
        <f t="shared" si="22"/>
        <v>-6263.25</v>
      </c>
      <c r="BJ55" s="84">
        <f t="shared" si="22"/>
        <v>-7943.25</v>
      </c>
      <c r="BK55" s="84">
        <f t="shared" si="22"/>
        <v>-6663.25</v>
      </c>
      <c r="BL55" s="84">
        <f t="shared" si="22"/>
        <v>-8343.25</v>
      </c>
      <c r="BM55" s="84">
        <f t="shared" si="22"/>
        <v>-7063.25</v>
      </c>
      <c r="BN55" s="84">
        <f t="shared" si="22"/>
        <v>-8743.25</v>
      </c>
      <c r="BO55" s="84">
        <f t="shared" si="22"/>
        <v>-7463.25</v>
      </c>
      <c r="BP55" s="84">
        <f t="shared" si="22"/>
        <v>-9143.25</v>
      </c>
      <c r="BQ55" s="84">
        <f t="shared" si="22"/>
        <v>-7863.25</v>
      </c>
      <c r="BR55" s="84">
        <f t="shared" si="22"/>
        <v>-9543.25</v>
      </c>
      <c r="BS55" s="85">
        <f t="shared" si="22"/>
        <v>-10263.25</v>
      </c>
      <c r="BT55" s="85">
        <f t="shared" si="22"/>
        <v>-13383.25</v>
      </c>
    </row>
    <row r="56" spans="1:72" ht="15.75" customHeight="1">
      <c r="A56" s="2"/>
      <c r="B56" s="79"/>
      <c r="C56" s="2" t="s">
        <v>217</v>
      </c>
      <c r="D56" s="2"/>
      <c r="E56" s="2"/>
      <c r="F56" s="2"/>
      <c r="G56" s="81">
        <v>22.6</v>
      </c>
      <c r="H56" s="81">
        <v>0</v>
      </c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78">
        <f>SUM(G56:R56)</f>
        <v>22.6</v>
      </c>
      <c r="T56" s="81">
        <v>40</v>
      </c>
      <c r="U56" s="81">
        <v>40</v>
      </c>
      <c r="V56" s="81">
        <v>40</v>
      </c>
      <c r="W56" s="81">
        <v>40</v>
      </c>
      <c r="X56" s="81">
        <v>40</v>
      </c>
      <c r="Y56" s="81">
        <v>40</v>
      </c>
      <c r="Z56" s="81">
        <v>40</v>
      </c>
      <c r="AA56" s="81">
        <v>40</v>
      </c>
      <c r="AB56" s="81">
        <v>40</v>
      </c>
      <c r="AC56" s="81">
        <v>40</v>
      </c>
      <c r="AD56" s="81">
        <v>40</v>
      </c>
      <c r="AE56" s="81">
        <v>40</v>
      </c>
      <c r="AF56" s="78">
        <f>SUM(T56:AE56)</f>
        <v>480</v>
      </c>
      <c r="AG56" s="81">
        <v>80</v>
      </c>
      <c r="AH56" s="81">
        <v>80</v>
      </c>
      <c r="AI56" s="81">
        <v>80</v>
      </c>
      <c r="AJ56" s="81">
        <v>80</v>
      </c>
      <c r="AK56" s="81">
        <v>80</v>
      </c>
      <c r="AL56" s="81">
        <v>80</v>
      </c>
      <c r="AM56" s="81">
        <v>80</v>
      </c>
      <c r="AN56" s="81">
        <v>80</v>
      </c>
      <c r="AO56" s="81">
        <v>80</v>
      </c>
      <c r="AP56" s="81">
        <v>80</v>
      </c>
      <c r="AQ56" s="81">
        <v>80</v>
      </c>
      <c r="AR56" s="81">
        <v>80</v>
      </c>
      <c r="AS56" s="78">
        <f>SUM(AG56:AR56)</f>
        <v>960</v>
      </c>
      <c r="AT56" s="81">
        <v>100</v>
      </c>
      <c r="AU56" s="81">
        <v>100</v>
      </c>
      <c r="AV56" s="81">
        <v>100</v>
      </c>
      <c r="AW56" s="81">
        <v>100</v>
      </c>
      <c r="AX56" s="81">
        <v>100</v>
      </c>
      <c r="AY56" s="81">
        <v>100</v>
      </c>
      <c r="AZ56" s="81">
        <v>100</v>
      </c>
      <c r="BA56" s="81">
        <v>100</v>
      </c>
      <c r="BB56" s="81">
        <v>100</v>
      </c>
      <c r="BC56" s="81">
        <v>100</v>
      </c>
      <c r="BD56" s="81">
        <v>100</v>
      </c>
      <c r="BE56" s="81">
        <v>100</v>
      </c>
      <c r="BF56" s="78">
        <f>SUM(AT56:BE56)</f>
        <v>1200</v>
      </c>
      <c r="BG56" s="81">
        <v>120</v>
      </c>
      <c r="BH56" s="81">
        <v>120</v>
      </c>
      <c r="BI56" s="81">
        <v>120</v>
      </c>
      <c r="BJ56" s="81">
        <v>120</v>
      </c>
      <c r="BK56" s="81">
        <v>120</v>
      </c>
      <c r="BL56" s="81">
        <v>120</v>
      </c>
      <c r="BM56" s="81">
        <v>120</v>
      </c>
      <c r="BN56" s="81">
        <v>120</v>
      </c>
      <c r="BO56" s="81">
        <v>120</v>
      </c>
      <c r="BP56" s="81">
        <v>120</v>
      </c>
      <c r="BQ56" s="81">
        <v>120</v>
      </c>
      <c r="BR56" s="81">
        <v>120</v>
      </c>
      <c r="BS56" s="78">
        <f>SUM(BG56:BR56)</f>
        <v>1440</v>
      </c>
      <c r="BT56" s="37">
        <f>S56+AF56+AS56+BF56+BS56</f>
        <v>4102.6000000000004</v>
      </c>
    </row>
    <row r="57" spans="1:72" ht="15.75" customHeight="1">
      <c r="A57" s="2"/>
      <c r="B57" s="79"/>
      <c r="C57" s="2" t="s">
        <v>218</v>
      </c>
      <c r="D57" s="2"/>
      <c r="E57" s="2"/>
      <c r="F57" s="2"/>
      <c r="G57" s="81">
        <v>0</v>
      </c>
      <c r="H57" s="81">
        <v>0</v>
      </c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78">
        <f>SUM(G57:R57)</f>
        <v>0</v>
      </c>
      <c r="T57" s="81">
        <v>50</v>
      </c>
      <c r="U57" s="81">
        <v>50</v>
      </c>
      <c r="V57" s="81">
        <v>50</v>
      </c>
      <c r="W57" s="81">
        <v>50</v>
      </c>
      <c r="X57" s="81">
        <v>50</v>
      </c>
      <c r="Y57" s="81">
        <v>50</v>
      </c>
      <c r="Z57" s="81">
        <v>50</v>
      </c>
      <c r="AA57" s="81">
        <v>50</v>
      </c>
      <c r="AB57" s="81">
        <v>50</v>
      </c>
      <c r="AC57" s="81">
        <v>50</v>
      </c>
      <c r="AD57" s="81">
        <v>50</v>
      </c>
      <c r="AE57" s="81">
        <v>50</v>
      </c>
      <c r="AF57" s="78">
        <f>SUM(T57:AE57)</f>
        <v>600</v>
      </c>
      <c r="AG57" s="81">
        <v>60</v>
      </c>
      <c r="AH57" s="81">
        <v>60</v>
      </c>
      <c r="AI57" s="81">
        <v>60</v>
      </c>
      <c r="AJ57" s="81">
        <v>60</v>
      </c>
      <c r="AK57" s="81">
        <v>60</v>
      </c>
      <c r="AL57" s="81">
        <v>60</v>
      </c>
      <c r="AM57" s="81">
        <v>60</v>
      </c>
      <c r="AN57" s="81">
        <v>60</v>
      </c>
      <c r="AO57" s="81">
        <v>60</v>
      </c>
      <c r="AP57" s="81">
        <v>60</v>
      </c>
      <c r="AQ57" s="81">
        <v>60</v>
      </c>
      <c r="AR57" s="81">
        <v>60</v>
      </c>
      <c r="AS57" s="78">
        <f>SUM(AG57:AR57)</f>
        <v>720</v>
      </c>
      <c r="AT57" s="81">
        <v>80</v>
      </c>
      <c r="AU57" s="81">
        <v>80</v>
      </c>
      <c r="AV57" s="81">
        <v>80</v>
      </c>
      <c r="AW57" s="81">
        <v>80</v>
      </c>
      <c r="AX57" s="81">
        <v>80</v>
      </c>
      <c r="AY57" s="81">
        <v>80</v>
      </c>
      <c r="AZ57" s="81">
        <v>80</v>
      </c>
      <c r="BA57" s="81">
        <v>80</v>
      </c>
      <c r="BB57" s="81">
        <v>80</v>
      </c>
      <c r="BC57" s="81">
        <v>80</v>
      </c>
      <c r="BD57" s="81">
        <v>80</v>
      </c>
      <c r="BE57" s="81">
        <v>80</v>
      </c>
      <c r="BF57" s="78">
        <f>SUM(AT57:BE57)</f>
        <v>960</v>
      </c>
      <c r="BG57" s="81">
        <v>90</v>
      </c>
      <c r="BH57" s="81">
        <v>90</v>
      </c>
      <c r="BI57" s="81">
        <v>90</v>
      </c>
      <c r="BJ57" s="81">
        <v>90</v>
      </c>
      <c r="BK57" s="81">
        <v>90</v>
      </c>
      <c r="BL57" s="81">
        <v>90</v>
      </c>
      <c r="BM57" s="81">
        <v>90</v>
      </c>
      <c r="BN57" s="81">
        <v>90</v>
      </c>
      <c r="BO57" s="81">
        <v>90</v>
      </c>
      <c r="BP57" s="81">
        <v>90</v>
      </c>
      <c r="BQ57" s="81">
        <v>90</v>
      </c>
      <c r="BR57" s="81">
        <v>90</v>
      </c>
      <c r="BS57" s="78">
        <f>SUM(BG57:BR57)</f>
        <v>1080</v>
      </c>
      <c r="BT57" s="37">
        <f>S57+AF57+AS57+BF57+BS57</f>
        <v>3360</v>
      </c>
    </row>
    <row r="58" spans="1:72" ht="15.75" customHeight="1">
      <c r="A58" s="2"/>
      <c r="B58" s="86"/>
      <c r="C58" s="2" t="s">
        <v>219</v>
      </c>
      <c r="D58" s="2"/>
      <c r="E58" s="2"/>
      <c r="F58" s="2"/>
      <c r="G58" s="81">
        <v>27.4</v>
      </c>
      <c r="H58" s="81">
        <v>0</v>
      </c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7">
        <f>SUM(G58:R58)</f>
        <v>27.4</v>
      </c>
      <c r="T58" s="81">
        <v>90</v>
      </c>
      <c r="U58" s="81">
        <v>90</v>
      </c>
      <c r="V58" s="81">
        <v>90</v>
      </c>
      <c r="W58" s="81">
        <v>90</v>
      </c>
      <c r="X58" s="81">
        <v>90</v>
      </c>
      <c r="Y58" s="81">
        <v>90</v>
      </c>
      <c r="Z58" s="81">
        <v>90</v>
      </c>
      <c r="AA58" s="81">
        <v>90</v>
      </c>
      <c r="AB58" s="81">
        <v>90</v>
      </c>
      <c r="AC58" s="81">
        <v>90</v>
      </c>
      <c r="AD58" s="81">
        <v>90</v>
      </c>
      <c r="AE58" s="81">
        <v>90</v>
      </c>
      <c r="AF58" s="87">
        <f>SUM(T58:AE58)</f>
        <v>1080</v>
      </c>
      <c r="AG58" s="81">
        <v>100</v>
      </c>
      <c r="AH58" s="81">
        <v>100</v>
      </c>
      <c r="AI58" s="81">
        <v>100</v>
      </c>
      <c r="AJ58" s="81">
        <v>100</v>
      </c>
      <c r="AK58" s="81">
        <v>100</v>
      </c>
      <c r="AL58" s="81">
        <v>100</v>
      </c>
      <c r="AM58" s="81">
        <v>100</v>
      </c>
      <c r="AN58" s="81">
        <v>100</v>
      </c>
      <c r="AO58" s="81">
        <v>100</v>
      </c>
      <c r="AP58" s="81">
        <v>100</v>
      </c>
      <c r="AQ58" s="81">
        <v>100</v>
      </c>
      <c r="AR58" s="81">
        <v>100</v>
      </c>
      <c r="AS58" s="87">
        <f>SUM(AG58:AR58)</f>
        <v>1200</v>
      </c>
      <c r="AT58" s="81">
        <v>160</v>
      </c>
      <c r="AU58" s="81">
        <v>160</v>
      </c>
      <c r="AV58" s="81">
        <v>160</v>
      </c>
      <c r="AW58" s="81">
        <v>160</v>
      </c>
      <c r="AX58" s="81">
        <v>160</v>
      </c>
      <c r="AY58" s="81">
        <v>160</v>
      </c>
      <c r="AZ58" s="81">
        <v>160</v>
      </c>
      <c r="BA58" s="81">
        <v>160</v>
      </c>
      <c r="BB58" s="81">
        <v>160</v>
      </c>
      <c r="BC58" s="81">
        <v>160</v>
      </c>
      <c r="BD58" s="81">
        <v>160</v>
      </c>
      <c r="BE58" s="81">
        <v>160</v>
      </c>
      <c r="BF58" s="87">
        <f>SUM(AT58:BE58)</f>
        <v>1920</v>
      </c>
      <c r="BG58" s="81">
        <v>190</v>
      </c>
      <c r="BH58" s="81">
        <v>190</v>
      </c>
      <c r="BI58" s="81">
        <v>190</v>
      </c>
      <c r="BJ58" s="81">
        <v>190</v>
      </c>
      <c r="BK58" s="81">
        <v>190</v>
      </c>
      <c r="BL58" s="81">
        <v>190</v>
      </c>
      <c r="BM58" s="81">
        <v>190</v>
      </c>
      <c r="BN58" s="81">
        <v>190</v>
      </c>
      <c r="BO58" s="81">
        <v>190</v>
      </c>
      <c r="BP58" s="81">
        <v>190</v>
      </c>
      <c r="BQ58" s="81">
        <v>190</v>
      </c>
      <c r="BR58" s="81">
        <v>190</v>
      </c>
      <c r="BS58" s="87">
        <f>SUM(BG58:BR58)</f>
        <v>2280</v>
      </c>
      <c r="BT58" s="37">
        <f>S58+AF58+AS58+BF58+BS58</f>
        <v>6507.4</v>
      </c>
    </row>
    <row r="59" spans="1:72" ht="15.75" customHeight="1">
      <c r="A59" s="2"/>
      <c r="B59" s="2"/>
      <c r="C59" s="2"/>
      <c r="D59" s="2"/>
      <c r="E59" s="2"/>
      <c r="F59" s="2" t="s">
        <v>220</v>
      </c>
      <c r="G59" s="77">
        <f t="shared" ref="G59:R59" si="23">SUM(G56:G58)</f>
        <v>50</v>
      </c>
      <c r="H59" s="77">
        <f t="shared" si="23"/>
        <v>0</v>
      </c>
      <c r="I59" s="77">
        <f t="shared" si="23"/>
        <v>0</v>
      </c>
      <c r="J59" s="77">
        <f t="shared" si="23"/>
        <v>0</v>
      </c>
      <c r="K59" s="77">
        <f t="shared" si="23"/>
        <v>0</v>
      </c>
      <c r="L59" s="77">
        <f t="shared" si="23"/>
        <v>0</v>
      </c>
      <c r="M59" s="77">
        <f t="shared" si="23"/>
        <v>0</v>
      </c>
      <c r="N59" s="77">
        <f t="shared" si="23"/>
        <v>0</v>
      </c>
      <c r="O59" s="77">
        <f t="shared" si="23"/>
        <v>0</v>
      </c>
      <c r="P59" s="77">
        <f t="shared" si="23"/>
        <v>0</v>
      </c>
      <c r="Q59" s="77">
        <f t="shared" si="23"/>
        <v>0</v>
      </c>
      <c r="R59" s="77">
        <f t="shared" si="23"/>
        <v>0</v>
      </c>
      <c r="S59" s="78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8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8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8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8"/>
      <c r="BT59" s="1"/>
    </row>
    <row r="60" spans="1:72" ht="15.75" customHeight="1">
      <c r="A60" s="2"/>
      <c r="B60" s="2"/>
      <c r="C60" s="2"/>
      <c r="D60" s="2"/>
      <c r="E60" s="2"/>
      <c r="F60" s="2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8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8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8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8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8"/>
      <c r="BT60" s="1"/>
    </row>
    <row r="61" spans="1:72" ht="15.75" customHeight="1">
      <c r="A61" s="2"/>
      <c r="B61" s="1" t="s">
        <v>221</v>
      </c>
      <c r="C61" s="2"/>
      <c r="D61" s="2"/>
      <c r="E61" s="2"/>
      <c r="F61" s="2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8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8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8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8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8"/>
      <c r="BT61" s="1"/>
    </row>
    <row r="62" spans="1:72" ht="15.75" customHeight="1">
      <c r="A62" s="2"/>
      <c r="B62" s="63"/>
      <c r="C62" s="2"/>
      <c r="D62" s="2"/>
      <c r="E62" s="2"/>
      <c r="F62" s="2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8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8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8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8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8"/>
      <c r="BT62" s="1"/>
    </row>
    <row r="63" spans="1:72" ht="15.75" customHeight="1">
      <c r="A63" s="2"/>
      <c r="B63" s="2"/>
      <c r="C63" s="2" t="s">
        <v>222</v>
      </c>
      <c r="D63" s="2"/>
      <c r="E63" s="2"/>
      <c r="F63" s="2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8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8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8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8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8"/>
      <c r="BT63" s="1"/>
    </row>
    <row r="64" spans="1:72" ht="15.75" customHeight="1">
      <c r="A64" s="2"/>
      <c r="B64" s="2"/>
      <c r="C64" s="2"/>
      <c r="D64" s="2" t="s">
        <v>213</v>
      </c>
      <c r="E64" s="2"/>
      <c r="F64" s="2"/>
      <c r="G64" s="77">
        <v>0</v>
      </c>
      <c r="H64" s="77" t="e">
        <f t="shared" ref="H64:R64" si="24">G68</f>
        <v>#REF!</v>
      </c>
      <c r="I64" s="77" t="e">
        <f t="shared" si="24"/>
        <v>#REF!</v>
      </c>
      <c r="J64" s="77" t="e">
        <f t="shared" si="24"/>
        <v>#REF!</v>
      </c>
      <c r="K64" s="77" t="e">
        <f t="shared" si="24"/>
        <v>#REF!</v>
      </c>
      <c r="L64" s="77" t="e">
        <f t="shared" si="24"/>
        <v>#REF!</v>
      </c>
      <c r="M64" s="77" t="e">
        <f t="shared" si="24"/>
        <v>#REF!</v>
      </c>
      <c r="N64" s="77" t="e">
        <f t="shared" si="24"/>
        <v>#REF!</v>
      </c>
      <c r="O64" s="77" t="e">
        <f t="shared" si="24"/>
        <v>#REF!</v>
      </c>
      <c r="P64" s="77" t="e">
        <f t="shared" si="24"/>
        <v>#REF!</v>
      </c>
      <c r="Q64" s="77" t="e">
        <f t="shared" si="24"/>
        <v>#REF!</v>
      </c>
      <c r="R64" s="77" t="e">
        <f t="shared" si="24"/>
        <v>#REF!</v>
      </c>
      <c r="S64" s="78">
        <f>G64</f>
        <v>0</v>
      </c>
      <c r="T64" s="77" t="e">
        <f>R68</f>
        <v>#REF!</v>
      </c>
      <c r="U64" s="77" t="e">
        <f t="shared" ref="U64:AE64" si="25">T68</f>
        <v>#REF!</v>
      </c>
      <c r="V64" s="77" t="e">
        <f t="shared" si="25"/>
        <v>#REF!</v>
      </c>
      <c r="W64" s="77" t="e">
        <f t="shared" si="25"/>
        <v>#REF!</v>
      </c>
      <c r="X64" s="77" t="e">
        <f t="shared" si="25"/>
        <v>#REF!</v>
      </c>
      <c r="Y64" s="77" t="e">
        <f t="shared" si="25"/>
        <v>#REF!</v>
      </c>
      <c r="Z64" s="77" t="e">
        <f t="shared" si="25"/>
        <v>#REF!</v>
      </c>
      <c r="AA64" s="77" t="e">
        <f t="shared" si="25"/>
        <v>#REF!</v>
      </c>
      <c r="AB64" s="77" t="e">
        <f t="shared" si="25"/>
        <v>#REF!</v>
      </c>
      <c r="AC64" s="77" t="e">
        <f t="shared" si="25"/>
        <v>#REF!</v>
      </c>
      <c r="AD64" s="77" t="e">
        <f t="shared" si="25"/>
        <v>#REF!</v>
      </c>
      <c r="AE64" s="77" t="e">
        <f t="shared" si="25"/>
        <v>#REF!</v>
      </c>
      <c r="AF64" s="78" t="e">
        <f>T64</f>
        <v>#REF!</v>
      </c>
      <c r="AG64" s="77" t="e">
        <f>AE68</f>
        <v>#REF!</v>
      </c>
      <c r="AH64" s="77" t="e">
        <f t="shared" ref="AH64:AR64" si="26">AG68</f>
        <v>#REF!</v>
      </c>
      <c r="AI64" s="77" t="e">
        <f t="shared" si="26"/>
        <v>#REF!</v>
      </c>
      <c r="AJ64" s="77" t="e">
        <f t="shared" si="26"/>
        <v>#REF!</v>
      </c>
      <c r="AK64" s="77" t="e">
        <f t="shared" si="26"/>
        <v>#REF!</v>
      </c>
      <c r="AL64" s="77" t="e">
        <f t="shared" si="26"/>
        <v>#REF!</v>
      </c>
      <c r="AM64" s="77" t="e">
        <f t="shared" si="26"/>
        <v>#REF!</v>
      </c>
      <c r="AN64" s="77" t="e">
        <f t="shared" si="26"/>
        <v>#REF!</v>
      </c>
      <c r="AO64" s="77" t="e">
        <f t="shared" si="26"/>
        <v>#REF!</v>
      </c>
      <c r="AP64" s="77" t="e">
        <f t="shared" si="26"/>
        <v>#REF!</v>
      </c>
      <c r="AQ64" s="77" t="e">
        <f t="shared" si="26"/>
        <v>#REF!</v>
      </c>
      <c r="AR64" s="77" t="e">
        <f t="shared" si="26"/>
        <v>#REF!</v>
      </c>
      <c r="AS64" s="78" t="e">
        <f>AG64</f>
        <v>#REF!</v>
      </c>
      <c r="AT64" s="77" t="e">
        <f>AR68</f>
        <v>#REF!</v>
      </c>
      <c r="AU64" s="77" t="e">
        <f t="shared" ref="AU64:BE64" si="27">AT68</f>
        <v>#REF!</v>
      </c>
      <c r="AV64" s="77" t="e">
        <f t="shared" si="27"/>
        <v>#REF!</v>
      </c>
      <c r="AW64" s="77" t="e">
        <f t="shared" si="27"/>
        <v>#REF!</v>
      </c>
      <c r="AX64" s="77" t="e">
        <f t="shared" si="27"/>
        <v>#REF!</v>
      </c>
      <c r="AY64" s="77" t="e">
        <f t="shared" si="27"/>
        <v>#REF!</v>
      </c>
      <c r="AZ64" s="77" t="e">
        <f t="shared" si="27"/>
        <v>#REF!</v>
      </c>
      <c r="BA64" s="77" t="e">
        <f t="shared" si="27"/>
        <v>#REF!</v>
      </c>
      <c r="BB64" s="77" t="e">
        <f t="shared" si="27"/>
        <v>#REF!</v>
      </c>
      <c r="BC64" s="77" t="e">
        <f t="shared" si="27"/>
        <v>#REF!</v>
      </c>
      <c r="BD64" s="77" t="e">
        <f t="shared" si="27"/>
        <v>#REF!</v>
      </c>
      <c r="BE64" s="77" t="e">
        <f t="shared" si="27"/>
        <v>#REF!</v>
      </c>
      <c r="BF64" s="78" t="e">
        <f>AT64</f>
        <v>#REF!</v>
      </c>
      <c r="BG64" s="77" t="e">
        <f>BE68</f>
        <v>#REF!</v>
      </c>
      <c r="BH64" s="77" t="e">
        <f t="shared" ref="BH64:BR64" si="28">BG68</f>
        <v>#REF!</v>
      </c>
      <c r="BI64" s="77" t="e">
        <f t="shared" si="28"/>
        <v>#REF!</v>
      </c>
      <c r="BJ64" s="77" t="e">
        <f t="shared" si="28"/>
        <v>#REF!</v>
      </c>
      <c r="BK64" s="77" t="e">
        <f t="shared" si="28"/>
        <v>#REF!</v>
      </c>
      <c r="BL64" s="77" t="e">
        <f t="shared" si="28"/>
        <v>#REF!</v>
      </c>
      <c r="BM64" s="77" t="e">
        <f t="shared" si="28"/>
        <v>#REF!</v>
      </c>
      <c r="BN64" s="77" t="e">
        <f t="shared" si="28"/>
        <v>#REF!</v>
      </c>
      <c r="BO64" s="77" t="e">
        <f t="shared" si="28"/>
        <v>#REF!</v>
      </c>
      <c r="BP64" s="77" t="e">
        <f t="shared" si="28"/>
        <v>#REF!</v>
      </c>
      <c r="BQ64" s="77" t="e">
        <f t="shared" si="28"/>
        <v>#REF!</v>
      </c>
      <c r="BR64" s="77" t="e">
        <f t="shared" si="28"/>
        <v>#REF!</v>
      </c>
      <c r="BS64" s="78" t="e">
        <f>BG64</f>
        <v>#REF!</v>
      </c>
      <c r="BT64" s="78">
        <f>G64</f>
        <v>0</v>
      </c>
    </row>
    <row r="65" spans="1:72" ht="15.75" customHeight="1">
      <c r="A65" s="2"/>
      <c r="B65" s="2"/>
      <c r="C65" s="2"/>
      <c r="D65" s="2" t="s">
        <v>223</v>
      </c>
      <c r="E65" s="2"/>
      <c r="F65" s="2"/>
      <c r="G65" s="77">
        <f>G$56/(Lists!$D$7)</f>
        <v>233.54345354965383</v>
      </c>
      <c r="H65" s="77">
        <f>H$56*(Lists!$D$7/12)</f>
        <v>0</v>
      </c>
      <c r="I65" s="77">
        <f>I$56*(Lists!$D$7/12)</f>
        <v>0</v>
      </c>
      <c r="J65" s="77">
        <f>J$56*(Lists!$D$7/12)</f>
        <v>0</v>
      </c>
      <c r="K65" s="77">
        <f>K$56*(Lists!$D$7/12)</f>
        <v>0</v>
      </c>
      <c r="L65" s="77">
        <f>L$56*(Lists!$D$7/12)</f>
        <v>0</v>
      </c>
      <c r="M65" s="77">
        <f>M$56*(Lists!$D$7/12)</f>
        <v>0</v>
      </c>
      <c r="N65" s="77">
        <f>N$56*(Lists!$D$7/12)</f>
        <v>0</v>
      </c>
      <c r="O65" s="77">
        <f>O$56*(Lists!$D$7/12)</f>
        <v>0</v>
      </c>
      <c r="P65" s="77">
        <f>P$56*(Lists!$D$7/12)</f>
        <v>0</v>
      </c>
      <c r="Q65" s="77">
        <f>Q$56*(Lists!$D$7/12)</f>
        <v>0</v>
      </c>
      <c r="R65" s="77">
        <f>R$56*(Lists!$D$7/12)</f>
        <v>0</v>
      </c>
      <c r="S65" s="78">
        <f>SUM(G65:R65)</f>
        <v>233.54345354965383</v>
      </c>
      <c r="T65" s="77">
        <f>T$56*(Lists!$D$7/12)</f>
        <v>0.32256666666666661</v>
      </c>
      <c r="U65" s="77">
        <f>U$56*(Lists!$D$7/12)</f>
        <v>0.32256666666666661</v>
      </c>
      <c r="V65" s="77">
        <f>V$56*(Lists!$D$7/12)</f>
        <v>0.32256666666666661</v>
      </c>
      <c r="W65" s="77">
        <f>W$56*(Lists!$D$7/12)</f>
        <v>0.32256666666666661</v>
      </c>
      <c r="X65" s="77">
        <f>X$56*(Lists!$D$7/12)</f>
        <v>0.32256666666666661</v>
      </c>
      <c r="Y65" s="77">
        <f>Y$56*(Lists!$D$7/12)</f>
        <v>0.32256666666666661</v>
      </c>
      <c r="Z65" s="77">
        <f>Z$56*(Lists!$D$7/12)</f>
        <v>0.32256666666666661</v>
      </c>
      <c r="AA65" s="77">
        <f>AA$56*(Lists!$D$7/12)</f>
        <v>0.32256666666666661</v>
      </c>
      <c r="AB65" s="77">
        <f>AB$56*(Lists!$D$7/12)</f>
        <v>0.32256666666666661</v>
      </c>
      <c r="AC65" s="77">
        <f>AC$56*(Lists!$D$7/12)</f>
        <v>0.32256666666666661</v>
      </c>
      <c r="AD65" s="77">
        <f>AD$56*(Lists!$D$7/12)</f>
        <v>0.32256666666666661</v>
      </c>
      <c r="AE65" s="77">
        <f>AE$56*(Lists!$D$7/12)</f>
        <v>0.32256666666666661</v>
      </c>
      <c r="AF65" s="78">
        <f>SUM(T65:AE65)</f>
        <v>3.8707999999999987</v>
      </c>
      <c r="AG65" s="77">
        <f>AG$56*(Lists!$D$7/12)</f>
        <v>0.64513333333333323</v>
      </c>
      <c r="AH65" s="77">
        <f>AH$56*(Lists!$D$7/12)</f>
        <v>0.64513333333333323</v>
      </c>
      <c r="AI65" s="77">
        <f>AI$56*(Lists!$D$7/12)</f>
        <v>0.64513333333333323</v>
      </c>
      <c r="AJ65" s="77">
        <f>AJ$56*(Lists!$D$7/12)</f>
        <v>0.64513333333333323</v>
      </c>
      <c r="AK65" s="77">
        <f>AK$56*(Lists!$D$7/12)</f>
        <v>0.64513333333333323</v>
      </c>
      <c r="AL65" s="77">
        <f>AL$56*(Lists!$D$7/12)</f>
        <v>0.64513333333333323</v>
      </c>
      <c r="AM65" s="77">
        <f>AM$56*(Lists!$D$7/12)</f>
        <v>0.64513333333333323</v>
      </c>
      <c r="AN65" s="77">
        <f>AN$56*(Lists!$D$7/12)</f>
        <v>0.64513333333333323</v>
      </c>
      <c r="AO65" s="77">
        <f>AO$56*(Lists!$D$7/12)</f>
        <v>0.64513333333333323</v>
      </c>
      <c r="AP65" s="77">
        <f>AP$56*(Lists!$D$7/12)</f>
        <v>0.64513333333333323</v>
      </c>
      <c r="AQ65" s="77">
        <f>AQ$56*(Lists!$D$7/12)</f>
        <v>0.64513333333333323</v>
      </c>
      <c r="AR65" s="77">
        <f>AR$56*(Lists!$D$7/12)</f>
        <v>0.64513333333333323</v>
      </c>
      <c r="AS65" s="78">
        <f>SUM(AG65:AR65)</f>
        <v>7.7415999999999974</v>
      </c>
      <c r="AT65" s="77">
        <f>AT$56*(Lists!$D$7/12)</f>
        <v>0.80641666666666656</v>
      </c>
      <c r="AU65" s="77">
        <f>AU$56*(Lists!$D$7/12)</f>
        <v>0.80641666666666656</v>
      </c>
      <c r="AV65" s="77">
        <f>AV$56*(Lists!$D$7/12)</f>
        <v>0.80641666666666656</v>
      </c>
      <c r="AW65" s="77">
        <f>AW$56*(Lists!$D$7/12)</f>
        <v>0.80641666666666656</v>
      </c>
      <c r="AX65" s="77">
        <f>AX$56*(Lists!$D$7/12)</f>
        <v>0.80641666666666656</v>
      </c>
      <c r="AY65" s="77">
        <f>AY$56*(Lists!$D$7/12)</f>
        <v>0.80641666666666656</v>
      </c>
      <c r="AZ65" s="77">
        <f>AZ$56*(Lists!$D$7/12)</f>
        <v>0.80641666666666656</v>
      </c>
      <c r="BA65" s="77">
        <f>BA$56*(Lists!$D$7/12)</f>
        <v>0.80641666666666656</v>
      </c>
      <c r="BB65" s="77">
        <f>BB$56*(Lists!$D$7/12)</f>
        <v>0.80641666666666656</v>
      </c>
      <c r="BC65" s="77">
        <f>BC$56*(Lists!$D$7/12)</f>
        <v>0.80641666666666656</v>
      </c>
      <c r="BD65" s="77">
        <f>BD$56*(Lists!$D$7/12)</f>
        <v>0.80641666666666656</v>
      </c>
      <c r="BE65" s="77">
        <f>BE$56*(Lists!$D$7/12)</f>
        <v>0.80641666666666656</v>
      </c>
      <c r="BF65" s="78">
        <f>SUM(AT65:BE65)</f>
        <v>9.6769999999999996</v>
      </c>
      <c r="BG65" s="77">
        <f>BG$56*(Lists!$D$7/12)</f>
        <v>0.96769999999999989</v>
      </c>
      <c r="BH65" s="77">
        <f>BH$56*(Lists!$D$7/12)</f>
        <v>0.96769999999999989</v>
      </c>
      <c r="BI65" s="77">
        <f>BI$56*(Lists!$D$7/12)</f>
        <v>0.96769999999999989</v>
      </c>
      <c r="BJ65" s="77">
        <f>BJ$56*(Lists!$D$7/12)</f>
        <v>0.96769999999999989</v>
      </c>
      <c r="BK65" s="77">
        <f>BK$56*(Lists!$D$7/12)</f>
        <v>0.96769999999999989</v>
      </c>
      <c r="BL65" s="77">
        <f>BL$56*(Lists!$D$7/12)</f>
        <v>0.96769999999999989</v>
      </c>
      <c r="BM65" s="77">
        <f>BM$56*(Lists!$D$7/12)</f>
        <v>0.96769999999999989</v>
      </c>
      <c r="BN65" s="77">
        <f>BN$56*(Lists!$D$7/12)</f>
        <v>0.96769999999999989</v>
      </c>
      <c r="BO65" s="77">
        <f>BO$56*(Lists!$D$7/12)</f>
        <v>0.96769999999999989</v>
      </c>
      <c r="BP65" s="77">
        <f>BP$56*(Lists!$D$7/12)</f>
        <v>0.96769999999999989</v>
      </c>
      <c r="BQ65" s="77">
        <f>BQ$56*(Lists!$D$7/12)</f>
        <v>0.96769999999999989</v>
      </c>
      <c r="BR65" s="77">
        <f>BR$56*(Lists!$D$7/12)</f>
        <v>0.96769999999999989</v>
      </c>
      <c r="BS65" s="78">
        <f>SUM(BG65:BR65)</f>
        <v>11.612400000000001</v>
      </c>
      <c r="BT65" s="37">
        <f>S65+AF65+AS65+BF65+BS65</f>
        <v>266.44525354965384</v>
      </c>
    </row>
    <row r="66" spans="1:72" ht="15.75" customHeight="1">
      <c r="A66" s="2"/>
      <c r="B66" s="2"/>
      <c r="C66" s="2"/>
      <c r="D66" s="2" t="s">
        <v>224</v>
      </c>
      <c r="E66" s="2"/>
      <c r="F66" s="2"/>
      <c r="G66" s="77" t="e">
        <f>'Beer Revenue'!#REF!/6</f>
        <v>#REF!</v>
      </c>
      <c r="H66" s="77" t="e">
        <f>'Beer Revenue'!#REF!/6</f>
        <v>#REF!</v>
      </c>
      <c r="I66" s="77" t="e">
        <f>'Beer Revenue'!#REF!/6</f>
        <v>#REF!</v>
      </c>
      <c r="J66" s="77" t="e">
        <f>'Beer Revenue'!#REF!/6</f>
        <v>#REF!</v>
      </c>
      <c r="K66" s="77" t="e">
        <f>'Beer Revenue'!#REF!/6</f>
        <v>#REF!</v>
      </c>
      <c r="L66" s="77" t="e">
        <f>'Beer Revenue'!#REF!/6</f>
        <v>#REF!</v>
      </c>
      <c r="M66" s="77" t="e">
        <f>'Beer Revenue'!#REF!/6</f>
        <v>#REF!</v>
      </c>
      <c r="N66" s="77" t="e">
        <f>'Beer Revenue'!#REF!/6</f>
        <v>#REF!</v>
      </c>
      <c r="O66" s="77" t="e">
        <f>'Beer Revenue'!#REF!/6</f>
        <v>#REF!</v>
      </c>
      <c r="P66" s="77" t="e">
        <f>'Beer Revenue'!#REF!/6</f>
        <v>#REF!</v>
      </c>
      <c r="Q66" s="77" t="e">
        <f>'Beer Revenue'!#REF!/6</f>
        <v>#REF!</v>
      </c>
      <c r="R66" s="77" t="e">
        <f>'Beer Revenue'!#REF!/6</f>
        <v>#REF!</v>
      </c>
      <c r="S66" s="78" t="e">
        <f>SUM(G66:R66)</f>
        <v>#REF!</v>
      </c>
      <c r="T66" s="77" t="e">
        <f>'Beer Revenue'!#REF!</f>
        <v>#REF!</v>
      </c>
      <c r="U66" s="77" t="e">
        <f>'Beer Revenue'!#REF!</f>
        <v>#REF!</v>
      </c>
      <c r="V66" s="77" t="e">
        <f>'Beer Revenue'!#REF!</f>
        <v>#REF!</v>
      </c>
      <c r="W66" s="77" t="e">
        <f>'Beer Revenue'!#REF!</f>
        <v>#REF!</v>
      </c>
      <c r="X66" s="77" t="e">
        <f>'Beer Revenue'!#REF!</f>
        <v>#REF!</v>
      </c>
      <c r="Y66" s="77" t="e">
        <f>'Beer Revenue'!#REF!</f>
        <v>#REF!</v>
      </c>
      <c r="Z66" s="77" t="e">
        <f>'Beer Revenue'!#REF!</f>
        <v>#REF!</v>
      </c>
      <c r="AA66" s="77" t="e">
        <f>'Beer Revenue'!#REF!</f>
        <v>#REF!</v>
      </c>
      <c r="AB66" s="77" t="e">
        <f>'Beer Revenue'!#REF!</f>
        <v>#REF!</v>
      </c>
      <c r="AC66" s="77" t="e">
        <f>'Beer Revenue'!#REF!</f>
        <v>#REF!</v>
      </c>
      <c r="AD66" s="77" t="e">
        <f>'Beer Revenue'!#REF!</f>
        <v>#REF!</v>
      </c>
      <c r="AE66" s="77" t="e">
        <f>'Beer Revenue'!#REF!</f>
        <v>#REF!</v>
      </c>
      <c r="AF66" s="78" t="e">
        <f>SUM(T66:AE66)</f>
        <v>#REF!</v>
      </c>
      <c r="AG66" s="77" t="e">
        <f>'Beer Revenue'!#REF!</f>
        <v>#REF!</v>
      </c>
      <c r="AH66" s="77" t="e">
        <f>'Beer Revenue'!#REF!</f>
        <v>#REF!</v>
      </c>
      <c r="AI66" s="77" t="e">
        <f>'Beer Revenue'!#REF!</f>
        <v>#REF!</v>
      </c>
      <c r="AJ66" s="77" t="e">
        <f>'Beer Revenue'!#REF!</f>
        <v>#REF!</v>
      </c>
      <c r="AK66" s="77" t="e">
        <f>'Beer Revenue'!#REF!</f>
        <v>#REF!</v>
      </c>
      <c r="AL66" s="77" t="e">
        <f>'Beer Revenue'!#REF!</f>
        <v>#REF!</v>
      </c>
      <c r="AM66" s="77" t="e">
        <f>'Beer Revenue'!#REF!</f>
        <v>#REF!</v>
      </c>
      <c r="AN66" s="77" t="e">
        <f>'Beer Revenue'!#REF!</f>
        <v>#REF!</v>
      </c>
      <c r="AO66" s="77" t="e">
        <f>'Beer Revenue'!#REF!</f>
        <v>#REF!</v>
      </c>
      <c r="AP66" s="77" t="e">
        <f>'Beer Revenue'!#REF!</f>
        <v>#REF!</v>
      </c>
      <c r="AQ66" s="77" t="e">
        <f>'Beer Revenue'!#REF!</f>
        <v>#REF!</v>
      </c>
      <c r="AR66" s="77" t="e">
        <f>'Beer Revenue'!#REF!</f>
        <v>#REF!</v>
      </c>
      <c r="AS66" s="78" t="e">
        <f>SUM(AG66:AR66)</f>
        <v>#REF!</v>
      </c>
      <c r="AT66" s="77" t="e">
        <f>'Beer Revenue'!#REF!</f>
        <v>#REF!</v>
      </c>
      <c r="AU66" s="77" t="e">
        <f>'Beer Revenue'!#REF!</f>
        <v>#REF!</v>
      </c>
      <c r="AV66" s="77" t="e">
        <f>'Beer Revenue'!#REF!</f>
        <v>#REF!</v>
      </c>
      <c r="AW66" s="77" t="e">
        <f>'Beer Revenue'!#REF!</f>
        <v>#REF!</v>
      </c>
      <c r="AX66" s="77" t="e">
        <f>'Beer Revenue'!#REF!</f>
        <v>#REF!</v>
      </c>
      <c r="AY66" s="77" t="e">
        <f>'Beer Revenue'!#REF!</f>
        <v>#REF!</v>
      </c>
      <c r="AZ66" s="77" t="e">
        <f>'Beer Revenue'!#REF!</f>
        <v>#REF!</v>
      </c>
      <c r="BA66" s="77" t="e">
        <f>'Beer Revenue'!#REF!</f>
        <v>#REF!</v>
      </c>
      <c r="BB66" s="77" t="e">
        <f>'Beer Revenue'!#REF!</f>
        <v>#REF!</v>
      </c>
      <c r="BC66" s="77" t="e">
        <f>'Beer Revenue'!#REF!</f>
        <v>#REF!</v>
      </c>
      <c r="BD66" s="77" t="e">
        <f>'Beer Revenue'!#REF!</f>
        <v>#REF!</v>
      </c>
      <c r="BE66" s="77" t="e">
        <f>'Beer Revenue'!#REF!</f>
        <v>#REF!</v>
      </c>
      <c r="BF66" s="78" t="e">
        <f>SUM(AT66:BE66)</f>
        <v>#REF!</v>
      </c>
      <c r="BG66" s="77" t="e">
        <f>'Beer Revenue'!#REF!</f>
        <v>#REF!</v>
      </c>
      <c r="BH66" s="77" t="e">
        <f>'Beer Revenue'!#REF!</f>
        <v>#REF!</v>
      </c>
      <c r="BI66" s="77" t="e">
        <f>'Beer Revenue'!#REF!</f>
        <v>#REF!</v>
      </c>
      <c r="BJ66" s="77" t="e">
        <f>'Beer Revenue'!#REF!</f>
        <v>#REF!</v>
      </c>
      <c r="BK66" s="77" t="e">
        <f>'Beer Revenue'!#REF!</f>
        <v>#REF!</v>
      </c>
      <c r="BL66" s="77" t="e">
        <f>'Beer Revenue'!#REF!</f>
        <v>#REF!</v>
      </c>
      <c r="BM66" s="77" t="e">
        <f>'Beer Revenue'!#REF!</f>
        <v>#REF!</v>
      </c>
      <c r="BN66" s="77" t="e">
        <f>'Beer Revenue'!#REF!</f>
        <v>#REF!</v>
      </c>
      <c r="BO66" s="77" t="e">
        <f>'Beer Revenue'!#REF!</f>
        <v>#REF!</v>
      </c>
      <c r="BP66" s="77" t="e">
        <f>'Beer Revenue'!#REF!</f>
        <v>#REF!</v>
      </c>
      <c r="BQ66" s="77" t="e">
        <f>'Beer Revenue'!#REF!</f>
        <v>#REF!</v>
      </c>
      <c r="BR66" s="77" t="e">
        <f>'Beer Revenue'!#REF!</f>
        <v>#REF!</v>
      </c>
      <c r="BS66" s="78" t="e">
        <f>SUM(BG66:BR66)</f>
        <v>#REF!</v>
      </c>
      <c r="BT66" s="37" t="e">
        <f>S66+AF66+AS66+BF66+BS66</f>
        <v>#REF!</v>
      </c>
    </row>
    <row r="67" spans="1:72" ht="15.75" customHeight="1">
      <c r="A67" s="2"/>
      <c r="B67" s="2"/>
      <c r="C67" s="2"/>
      <c r="D67" s="2" t="s">
        <v>225</v>
      </c>
      <c r="E67" s="2"/>
      <c r="F67" s="2"/>
      <c r="G67" s="77">
        <v>0</v>
      </c>
      <c r="H67" s="77">
        <v>0</v>
      </c>
      <c r="I67" s="77">
        <v>0</v>
      </c>
      <c r="J67" s="77">
        <v>0</v>
      </c>
      <c r="K67" s="77">
        <v>0</v>
      </c>
      <c r="L67" s="77">
        <v>0</v>
      </c>
      <c r="M67" s="77">
        <v>0</v>
      </c>
      <c r="N67" s="77">
        <v>0</v>
      </c>
      <c r="O67" s="77">
        <v>0</v>
      </c>
      <c r="P67" s="77">
        <v>0</v>
      </c>
      <c r="Q67" s="77">
        <v>0</v>
      </c>
      <c r="R67" s="77">
        <v>0</v>
      </c>
      <c r="S67" s="78">
        <f>SUM(G67:R67)</f>
        <v>0</v>
      </c>
      <c r="T67" s="77" t="e">
        <f>'Beer Revenue'!#REF!</f>
        <v>#REF!</v>
      </c>
      <c r="U67" s="77" t="e">
        <f>'Beer Revenue'!#REF!</f>
        <v>#REF!</v>
      </c>
      <c r="V67" s="77" t="e">
        <f>'Beer Revenue'!#REF!</f>
        <v>#REF!</v>
      </c>
      <c r="W67" s="77" t="e">
        <f>'Beer Revenue'!#REF!</f>
        <v>#REF!</v>
      </c>
      <c r="X67" s="77" t="e">
        <f>'Beer Revenue'!#REF!</f>
        <v>#REF!</v>
      </c>
      <c r="Y67" s="77" t="e">
        <f>'Beer Revenue'!#REF!</f>
        <v>#REF!</v>
      </c>
      <c r="Z67" s="77" t="e">
        <f>'Beer Revenue'!#REF!</f>
        <v>#REF!</v>
      </c>
      <c r="AA67" s="77" t="e">
        <f>'Beer Revenue'!#REF!</f>
        <v>#REF!</v>
      </c>
      <c r="AB67" s="77" t="e">
        <f>'Beer Revenue'!#REF!</f>
        <v>#REF!</v>
      </c>
      <c r="AC67" s="77" t="e">
        <f>'Beer Revenue'!#REF!</f>
        <v>#REF!</v>
      </c>
      <c r="AD67" s="77" t="e">
        <f>'Beer Revenue'!#REF!</f>
        <v>#REF!</v>
      </c>
      <c r="AE67" s="77" t="e">
        <f>'Beer Revenue'!#REF!</f>
        <v>#REF!</v>
      </c>
      <c r="AF67" s="78" t="e">
        <f>SUM(T67:AE67)</f>
        <v>#REF!</v>
      </c>
      <c r="AG67" s="77" t="e">
        <f>'Beer Revenue'!#REF!</f>
        <v>#REF!</v>
      </c>
      <c r="AH67" s="77" t="e">
        <f>'Beer Revenue'!#REF!</f>
        <v>#REF!</v>
      </c>
      <c r="AI67" s="77" t="e">
        <f>'Beer Revenue'!#REF!</f>
        <v>#REF!</v>
      </c>
      <c r="AJ67" s="77" t="e">
        <f>'Beer Revenue'!#REF!</f>
        <v>#REF!</v>
      </c>
      <c r="AK67" s="77" t="e">
        <f>'Beer Revenue'!#REF!</f>
        <v>#REF!</v>
      </c>
      <c r="AL67" s="77" t="e">
        <f>'Beer Revenue'!#REF!</f>
        <v>#REF!</v>
      </c>
      <c r="AM67" s="77" t="e">
        <f>'Beer Revenue'!#REF!</f>
        <v>#REF!</v>
      </c>
      <c r="AN67" s="77" t="e">
        <f>'Beer Revenue'!#REF!</f>
        <v>#REF!</v>
      </c>
      <c r="AO67" s="77" t="e">
        <f>'Beer Revenue'!#REF!</f>
        <v>#REF!</v>
      </c>
      <c r="AP67" s="77" t="e">
        <f>'Beer Revenue'!#REF!</f>
        <v>#REF!</v>
      </c>
      <c r="AQ67" s="77" t="e">
        <f>'Beer Revenue'!#REF!</f>
        <v>#REF!</v>
      </c>
      <c r="AR67" s="77" t="e">
        <f>'Beer Revenue'!#REF!</f>
        <v>#REF!</v>
      </c>
      <c r="AS67" s="78" t="e">
        <f>SUM(AG67:AR67)</f>
        <v>#REF!</v>
      </c>
      <c r="AT67" s="77" t="e">
        <f>'Beer Revenue'!#REF!</f>
        <v>#REF!</v>
      </c>
      <c r="AU67" s="77" t="e">
        <f>'Beer Revenue'!#REF!</f>
        <v>#REF!</v>
      </c>
      <c r="AV67" s="77" t="e">
        <f>'Beer Revenue'!#REF!</f>
        <v>#REF!</v>
      </c>
      <c r="AW67" s="77" t="e">
        <f>'Beer Revenue'!#REF!</f>
        <v>#REF!</v>
      </c>
      <c r="AX67" s="77" t="e">
        <f>'Beer Revenue'!#REF!</f>
        <v>#REF!</v>
      </c>
      <c r="AY67" s="77" t="e">
        <f>'Beer Revenue'!#REF!</f>
        <v>#REF!</v>
      </c>
      <c r="AZ67" s="77" t="e">
        <f>'Beer Revenue'!#REF!</f>
        <v>#REF!</v>
      </c>
      <c r="BA67" s="77" t="e">
        <f>'Beer Revenue'!#REF!</f>
        <v>#REF!</v>
      </c>
      <c r="BB67" s="77" t="e">
        <f>'Beer Revenue'!#REF!</f>
        <v>#REF!</v>
      </c>
      <c r="BC67" s="77" t="e">
        <f>'Beer Revenue'!#REF!</f>
        <v>#REF!</v>
      </c>
      <c r="BD67" s="77" t="e">
        <f>'Beer Revenue'!#REF!</f>
        <v>#REF!</v>
      </c>
      <c r="BE67" s="77" t="e">
        <f>'Beer Revenue'!#REF!</f>
        <v>#REF!</v>
      </c>
      <c r="BF67" s="78" t="e">
        <f>SUM(AT67:BE67)</f>
        <v>#REF!</v>
      </c>
      <c r="BG67" s="77" t="e">
        <f>'Beer Revenue'!#REF!</f>
        <v>#REF!</v>
      </c>
      <c r="BH67" s="77" t="e">
        <f>'Beer Revenue'!#REF!</f>
        <v>#REF!</v>
      </c>
      <c r="BI67" s="77" t="e">
        <f>'Beer Revenue'!#REF!</f>
        <v>#REF!</v>
      </c>
      <c r="BJ67" s="77" t="e">
        <f>'Beer Revenue'!#REF!</f>
        <v>#REF!</v>
      </c>
      <c r="BK67" s="77" t="e">
        <f>'Beer Revenue'!#REF!</f>
        <v>#REF!</v>
      </c>
      <c r="BL67" s="77" t="e">
        <f>'Beer Revenue'!#REF!</f>
        <v>#REF!</v>
      </c>
      <c r="BM67" s="77" t="e">
        <f>'Beer Revenue'!#REF!</f>
        <v>#REF!</v>
      </c>
      <c r="BN67" s="77" t="e">
        <f>'Beer Revenue'!#REF!</f>
        <v>#REF!</v>
      </c>
      <c r="BO67" s="77" t="e">
        <f>'Beer Revenue'!#REF!</f>
        <v>#REF!</v>
      </c>
      <c r="BP67" s="77" t="e">
        <f>'Beer Revenue'!#REF!</f>
        <v>#REF!</v>
      </c>
      <c r="BQ67" s="77" t="e">
        <f>'Beer Revenue'!#REF!</f>
        <v>#REF!</v>
      </c>
      <c r="BR67" s="77" t="e">
        <f>'Beer Revenue'!#REF!</f>
        <v>#REF!</v>
      </c>
      <c r="BS67" s="78" t="e">
        <f>SUM(BG67:BR67)</f>
        <v>#REF!</v>
      </c>
      <c r="BT67" s="37" t="e">
        <f>S67+AF67+AS67+BF67+BS67</f>
        <v>#REF!</v>
      </c>
    </row>
    <row r="68" spans="1:72" ht="15.75" customHeight="1">
      <c r="A68" s="2"/>
      <c r="B68" s="2"/>
      <c r="C68" s="2"/>
      <c r="D68" s="2" t="s">
        <v>226</v>
      </c>
      <c r="E68" s="2"/>
      <c r="F68" s="2"/>
      <c r="G68" s="77" t="e">
        <f t="shared" ref="G68:BT68" si="29">G64+G65-G66-G67</f>
        <v>#REF!</v>
      </c>
      <c r="H68" s="77" t="e">
        <f t="shared" si="29"/>
        <v>#REF!</v>
      </c>
      <c r="I68" s="77" t="e">
        <f t="shared" si="29"/>
        <v>#REF!</v>
      </c>
      <c r="J68" s="77" t="e">
        <f t="shared" si="29"/>
        <v>#REF!</v>
      </c>
      <c r="K68" s="77" t="e">
        <f t="shared" si="29"/>
        <v>#REF!</v>
      </c>
      <c r="L68" s="77" t="e">
        <f t="shared" si="29"/>
        <v>#REF!</v>
      </c>
      <c r="M68" s="77" t="e">
        <f t="shared" si="29"/>
        <v>#REF!</v>
      </c>
      <c r="N68" s="77" t="e">
        <f t="shared" si="29"/>
        <v>#REF!</v>
      </c>
      <c r="O68" s="77" t="e">
        <f t="shared" si="29"/>
        <v>#REF!</v>
      </c>
      <c r="P68" s="77" t="e">
        <f t="shared" si="29"/>
        <v>#REF!</v>
      </c>
      <c r="Q68" s="77" t="e">
        <f t="shared" si="29"/>
        <v>#REF!</v>
      </c>
      <c r="R68" s="77" t="e">
        <f t="shared" si="29"/>
        <v>#REF!</v>
      </c>
      <c r="S68" s="78" t="e">
        <f t="shared" si="29"/>
        <v>#REF!</v>
      </c>
      <c r="T68" s="77" t="e">
        <f t="shared" si="29"/>
        <v>#REF!</v>
      </c>
      <c r="U68" s="77" t="e">
        <f t="shared" si="29"/>
        <v>#REF!</v>
      </c>
      <c r="V68" s="77" t="e">
        <f t="shared" si="29"/>
        <v>#REF!</v>
      </c>
      <c r="W68" s="77" t="e">
        <f t="shared" si="29"/>
        <v>#REF!</v>
      </c>
      <c r="X68" s="77" t="e">
        <f t="shared" si="29"/>
        <v>#REF!</v>
      </c>
      <c r="Y68" s="77" t="e">
        <f t="shared" si="29"/>
        <v>#REF!</v>
      </c>
      <c r="Z68" s="77" t="e">
        <f t="shared" si="29"/>
        <v>#REF!</v>
      </c>
      <c r="AA68" s="77" t="e">
        <f t="shared" si="29"/>
        <v>#REF!</v>
      </c>
      <c r="AB68" s="77" t="e">
        <f t="shared" si="29"/>
        <v>#REF!</v>
      </c>
      <c r="AC68" s="77" t="e">
        <f t="shared" si="29"/>
        <v>#REF!</v>
      </c>
      <c r="AD68" s="77" t="e">
        <f t="shared" si="29"/>
        <v>#REF!</v>
      </c>
      <c r="AE68" s="77" t="e">
        <f t="shared" si="29"/>
        <v>#REF!</v>
      </c>
      <c r="AF68" s="78" t="e">
        <f t="shared" si="29"/>
        <v>#REF!</v>
      </c>
      <c r="AG68" s="77" t="e">
        <f t="shared" si="29"/>
        <v>#REF!</v>
      </c>
      <c r="AH68" s="77" t="e">
        <f t="shared" si="29"/>
        <v>#REF!</v>
      </c>
      <c r="AI68" s="77" t="e">
        <f t="shared" si="29"/>
        <v>#REF!</v>
      </c>
      <c r="AJ68" s="77" t="e">
        <f t="shared" si="29"/>
        <v>#REF!</v>
      </c>
      <c r="AK68" s="77" t="e">
        <f t="shared" si="29"/>
        <v>#REF!</v>
      </c>
      <c r="AL68" s="77" t="e">
        <f t="shared" si="29"/>
        <v>#REF!</v>
      </c>
      <c r="AM68" s="77" t="e">
        <f t="shared" si="29"/>
        <v>#REF!</v>
      </c>
      <c r="AN68" s="77" t="e">
        <f t="shared" si="29"/>
        <v>#REF!</v>
      </c>
      <c r="AO68" s="77" t="e">
        <f t="shared" si="29"/>
        <v>#REF!</v>
      </c>
      <c r="AP68" s="77" t="e">
        <f t="shared" si="29"/>
        <v>#REF!</v>
      </c>
      <c r="AQ68" s="77" t="e">
        <f t="shared" si="29"/>
        <v>#REF!</v>
      </c>
      <c r="AR68" s="77" t="e">
        <f t="shared" si="29"/>
        <v>#REF!</v>
      </c>
      <c r="AS68" s="78" t="e">
        <f t="shared" si="29"/>
        <v>#REF!</v>
      </c>
      <c r="AT68" s="77" t="e">
        <f t="shared" si="29"/>
        <v>#REF!</v>
      </c>
      <c r="AU68" s="77" t="e">
        <f t="shared" si="29"/>
        <v>#REF!</v>
      </c>
      <c r="AV68" s="77" t="e">
        <f t="shared" si="29"/>
        <v>#REF!</v>
      </c>
      <c r="AW68" s="77" t="e">
        <f t="shared" si="29"/>
        <v>#REF!</v>
      </c>
      <c r="AX68" s="77" t="e">
        <f t="shared" si="29"/>
        <v>#REF!</v>
      </c>
      <c r="AY68" s="77" t="e">
        <f t="shared" si="29"/>
        <v>#REF!</v>
      </c>
      <c r="AZ68" s="77" t="e">
        <f t="shared" si="29"/>
        <v>#REF!</v>
      </c>
      <c r="BA68" s="77" t="e">
        <f t="shared" si="29"/>
        <v>#REF!</v>
      </c>
      <c r="BB68" s="77" t="e">
        <f t="shared" si="29"/>
        <v>#REF!</v>
      </c>
      <c r="BC68" s="77" t="e">
        <f t="shared" si="29"/>
        <v>#REF!</v>
      </c>
      <c r="BD68" s="77" t="e">
        <f t="shared" si="29"/>
        <v>#REF!</v>
      </c>
      <c r="BE68" s="77" t="e">
        <f t="shared" si="29"/>
        <v>#REF!</v>
      </c>
      <c r="BF68" s="78" t="e">
        <f t="shared" si="29"/>
        <v>#REF!</v>
      </c>
      <c r="BG68" s="77" t="e">
        <f t="shared" si="29"/>
        <v>#REF!</v>
      </c>
      <c r="BH68" s="77" t="e">
        <f t="shared" si="29"/>
        <v>#REF!</v>
      </c>
      <c r="BI68" s="77" t="e">
        <f t="shared" si="29"/>
        <v>#REF!</v>
      </c>
      <c r="BJ68" s="77" t="e">
        <f t="shared" si="29"/>
        <v>#REF!</v>
      </c>
      <c r="BK68" s="77" t="e">
        <f t="shared" si="29"/>
        <v>#REF!</v>
      </c>
      <c r="BL68" s="77" t="e">
        <f t="shared" si="29"/>
        <v>#REF!</v>
      </c>
      <c r="BM68" s="77" t="e">
        <f t="shared" si="29"/>
        <v>#REF!</v>
      </c>
      <c r="BN68" s="77" t="e">
        <f t="shared" si="29"/>
        <v>#REF!</v>
      </c>
      <c r="BO68" s="77" t="e">
        <f t="shared" si="29"/>
        <v>#REF!</v>
      </c>
      <c r="BP68" s="77" t="e">
        <f t="shared" si="29"/>
        <v>#REF!</v>
      </c>
      <c r="BQ68" s="77" t="e">
        <f t="shared" si="29"/>
        <v>#REF!</v>
      </c>
      <c r="BR68" s="77" t="e">
        <f t="shared" si="29"/>
        <v>#REF!</v>
      </c>
      <c r="BS68" s="78" t="e">
        <f t="shared" si="29"/>
        <v>#REF!</v>
      </c>
      <c r="BT68" s="78" t="e">
        <f t="shared" si="29"/>
        <v>#REF!</v>
      </c>
    </row>
    <row r="69" spans="1:72" ht="15.75" customHeight="1">
      <c r="A69" s="2"/>
      <c r="B69" s="2"/>
      <c r="C69" s="2"/>
      <c r="D69" s="2"/>
      <c r="E69" s="2"/>
      <c r="F69" s="2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8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8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8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8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8"/>
      <c r="BT69" s="1"/>
    </row>
    <row r="70" spans="1:72" ht="15.75" customHeight="1">
      <c r="A70" s="2"/>
      <c r="B70" s="2"/>
      <c r="C70" s="2" t="s">
        <v>227</v>
      </c>
      <c r="D70" s="2"/>
      <c r="E70" s="2"/>
      <c r="F70" s="2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8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8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8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8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8"/>
      <c r="BT70" s="1"/>
    </row>
    <row r="71" spans="1:72" ht="15.75" customHeight="1">
      <c r="A71" s="2"/>
      <c r="B71" s="2"/>
      <c r="C71" s="2"/>
      <c r="D71" s="2" t="s">
        <v>213</v>
      </c>
      <c r="E71" s="2"/>
      <c r="F71" s="2"/>
      <c r="G71" s="77">
        <v>0</v>
      </c>
      <c r="H71" s="77" t="e">
        <f t="shared" ref="H71:R71" si="30">G75</f>
        <v>#REF!</v>
      </c>
      <c r="I71" s="77" t="e">
        <f t="shared" si="30"/>
        <v>#REF!</v>
      </c>
      <c r="J71" s="77" t="e">
        <f t="shared" si="30"/>
        <v>#REF!</v>
      </c>
      <c r="K71" s="77" t="e">
        <f t="shared" si="30"/>
        <v>#REF!</v>
      </c>
      <c r="L71" s="77" t="e">
        <f t="shared" si="30"/>
        <v>#REF!</v>
      </c>
      <c r="M71" s="77" t="e">
        <f t="shared" si="30"/>
        <v>#REF!</v>
      </c>
      <c r="N71" s="77" t="e">
        <f t="shared" si="30"/>
        <v>#REF!</v>
      </c>
      <c r="O71" s="77" t="e">
        <f t="shared" si="30"/>
        <v>#REF!</v>
      </c>
      <c r="P71" s="77" t="e">
        <f t="shared" si="30"/>
        <v>#REF!</v>
      </c>
      <c r="Q71" s="77" t="e">
        <f t="shared" si="30"/>
        <v>#REF!</v>
      </c>
      <c r="R71" s="77" t="e">
        <f t="shared" si="30"/>
        <v>#REF!</v>
      </c>
      <c r="S71" s="78">
        <f>G71</f>
        <v>0</v>
      </c>
      <c r="T71" s="77" t="e">
        <f>R75</f>
        <v>#REF!</v>
      </c>
      <c r="U71" s="77" t="e">
        <f t="shared" ref="U71:AE71" si="31">T75</f>
        <v>#REF!</v>
      </c>
      <c r="V71" s="77" t="e">
        <f t="shared" si="31"/>
        <v>#REF!</v>
      </c>
      <c r="W71" s="77" t="e">
        <f t="shared" si="31"/>
        <v>#REF!</v>
      </c>
      <c r="X71" s="77" t="e">
        <f t="shared" si="31"/>
        <v>#REF!</v>
      </c>
      <c r="Y71" s="77" t="e">
        <f t="shared" si="31"/>
        <v>#REF!</v>
      </c>
      <c r="Z71" s="77" t="e">
        <f t="shared" si="31"/>
        <v>#REF!</v>
      </c>
      <c r="AA71" s="77" t="e">
        <f t="shared" si="31"/>
        <v>#REF!</v>
      </c>
      <c r="AB71" s="77" t="e">
        <f t="shared" si="31"/>
        <v>#REF!</v>
      </c>
      <c r="AC71" s="77" t="e">
        <f t="shared" si="31"/>
        <v>#REF!</v>
      </c>
      <c r="AD71" s="77" t="e">
        <f t="shared" si="31"/>
        <v>#REF!</v>
      </c>
      <c r="AE71" s="77" t="e">
        <f t="shared" si="31"/>
        <v>#REF!</v>
      </c>
      <c r="AF71" s="78" t="e">
        <f>T71</f>
        <v>#REF!</v>
      </c>
      <c r="AG71" s="77" t="e">
        <f>AE75</f>
        <v>#REF!</v>
      </c>
      <c r="AH71" s="77" t="e">
        <f t="shared" ref="AH71:AR71" si="32">AG75</f>
        <v>#REF!</v>
      </c>
      <c r="AI71" s="77" t="e">
        <f t="shared" si="32"/>
        <v>#REF!</v>
      </c>
      <c r="AJ71" s="77" t="e">
        <f t="shared" si="32"/>
        <v>#REF!</v>
      </c>
      <c r="AK71" s="77" t="e">
        <f t="shared" si="32"/>
        <v>#REF!</v>
      </c>
      <c r="AL71" s="77" t="e">
        <f t="shared" si="32"/>
        <v>#REF!</v>
      </c>
      <c r="AM71" s="77" t="e">
        <f t="shared" si="32"/>
        <v>#REF!</v>
      </c>
      <c r="AN71" s="77" t="e">
        <f t="shared" si="32"/>
        <v>#REF!</v>
      </c>
      <c r="AO71" s="77" t="e">
        <f t="shared" si="32"/>
        <v>#REF!</v>
      </c>
      <c r="AP71" s="77" t="e">
        <f t="shared" si="32"/>
        <v>#REF!</v>
      </c>
      <c r="AQ71" s="77" t="e">
        <f t="shared" si="32"/>
        <v>#REF!</v>
      </c>
      <c r="AR71" s="77" t="e">
        <f t="shared" si="32"/>
        <v>#REF!</v>
      </c>
      <c r="AS71" s="78" t="e">
        <f>AG71</f>
        <v>#REF!</v>
      </c>
      <c r="AT71" s="77" t="e">
        <f>AR75</f>
        <v>#REF!</v>
      </c>
      <c r="AU71" s="77" t="e">
        <f t="shared" ref="AU71:BE71" si="33">AT75</f>
        <v>#REF!</v>
      </c>
      <c r="AV71" s="77" t="e">
        <f t="shared" si="33"/>
        <v>#REF!</v>
      </c>
      <c r="AW71" s="77" t="e">
        <f t="shared" si="33"/>
        <v>#REF!</v>
      </c>
      <c r="AX71" s="77" t="e">
        <f t="shared" si="33"/>
        <v>#REF!</v>
      </c>
      <c r="AY71" s="77" t="e">
        <f t="shared" si="33"/>
        <v>#REF!</v>
      </c>
      <c r="AZ71" s="77" t="e">
        <f t="shared" si="33"/>
        <v>#REF!</v>
      </c>
      <c r="BA71" s="77" t="e">
        <f t="shared" si="33"/>
        <v>#REF!</v>
      </c>
      <c r="BB71" s="77" t="e">
        <f t="shared" si="33"/>
        <v>#REF!</v>
      </c>
      <c r="BC71" s="77" t="e">
        <f t="shared" si="33"/>
        <v>#REF!</v>
      </c>
      <c r="BD71" s="77" t="e">
        <f t="shared" si="33"/>
        <v>#REF!</v>
      </c>
      <c r="BE71" s="77" t="e">
        <f t="shared" si="33"/>
        <v>#REF!</v>
      </c>
      <c r="BF71" s="78" t="e">
        <f>AT71</f>
        <v>#REF!</v>
      </c>
      <c r="BG71" s="77" t="e">
        <f>BE75</f>
        <v>#REF!</v>
      </c>
      <c r="BH71" s="77" t="e">
        <f t="shared" ref="BH71:BR71" si="34">BG75</f>
        <v>#REF!</v>
      </c>
      <c r="BI71" s="77" t="e">
        <f t="shared" si="34"/>
        <v>#REF!</v>
      </c>
      <c r="BJ71" s="77" t="e">
        <f t="shared" si="34"/>
        <v>#REF!</v>
      </c>
      <c r="BK71" s="77" t="e">
        <f t="shared" si="34"/>
        <v>#REF!</v>
      </c>
      <c r="BL71" s="77" t="e">
        <f t="shared" si="34"/>
        <v>#REF!</v>
      </c>
      <c r="BM71" s="77" t="e">
        <f t="shared" si="34"/>
        <v>#REF!</v>
      </c>
      <c r="BN71" s="77" t="e">
        <f t="shared" si="34"/>
        <v>#REF!</v>
      </c>
      <c r="BO71" s="77" t="e">
        <f t="shared" si="34"/>
        <v>#REF!</v>
      </c>
      <c r="BP71" s="77" t="e">
        <f t="shared" si="34"/>
        <v>#REF!</v>
      </c>
      <c r="BQ71" s="77" t="e">
        <f t="shared" si="34"/>
        <v>#REF!</v>
      </c>
      <c r="BR71" s="77" t="e">
        <f t="shared" si="34"/>
        <v>#REF!</v>
      </c>
      <c r="BS71" s="78" t="e">
        <f>BG71</f>
        <v>#REF!</v>
      </c>
      <c r="BT71" s="78">
        <f>G71</f>
        <v>0</v>
      </c>
    </row>
    <row r="72" spans="1:72" ht="15.75" customHeight="1">
      <c r="A72" s="2"/>
      <c r="B72" s="2"/>
      <c r="C72" s="2"/>
      <c r="D72" s="2" t="s">
        <v>223</v>
      </c>
      <c r="E72" s="2"/>
      <c r="F72" s="2"/>
      <c r="G72" s="77">
        <f>G$57*Lists!$D$8</f>
        <v>0</v>
      </c>
      <c r="H72" s="77">
        <f>H$57*Lists!$D$8</f>
        <v>0</v>
      </c>
      <c r="I72" s="77">
        <f>I$57*Lists!$D$8</f>
        <v>0</v>
      </c>
      <c r="J72" s="77">
        <f>J$57*Lists!$D$8</f>
        <v>0</v>
      </c>
      <c r="K72" s="77">
        <f>K$57*Lists!$D$8</f>
        <v>0</v>
      </c>
      <c r="L72" s="77">
        <f>L$57*Lists!$D$8</f>
        <v>0</v>
      </c>
      <c r="M72" s="77">
        <f>M$57*Lists!$D$8</f>
        <v>0</v>
      </c>
      <c r="N72" s="77">
        <f>N$57*Lists!$D$8</f>
        <v>0</v>
      </c>
      <c r="O72" s="77">
        <f>O$57*Lists!$D$8</f>
        <v>0</v>
      </c>
      <c r="P72" s="77">
        <f>P$57*Lists!$D$8</f>
        <v>0</v>
      </c>
      <c r="Q72" s="77">
        <f>Q$57*Lists!$D$8</f>
        <v>0</v>
      </c>
      <c r="R72" s="77">
        <f>R$57*Lists!$D$8</f>
        <v>0</v>
      </c>
      <c r="S72" s="78">
        <f>SUM(G72:R72)</f>
        <v>0</v>
      </c>
      <c r="T72" s="77">
        <f>T$57*Lists!$D$8</f>
        <v>300</v>
      </c>
      <c r="U72" s="77">
        <f>U$57*Lists!$D$8</f>
        <v>300</v>
      </c>
      <c r="V72" s="77">
        <f>V$57*Lists!$D$8</f>
        <v>300</v>
      </c>
      <c r="W72" s="77">
        <f>W$57*Lists!$D$8</f>
        <v>300</v>
      </c>
      <c r="X72" s="77">
        <f>X$57*Lists!$D$8</f>
        <v>300</v>
      </c>
      <c r="Y72" s="77">
        <f>Y$57*Lists!$D$8</f>
        <v>300</v>
      </c>
      <c r="Z72" s="77">
        <f>Z$57*Lists!$D$8</f>
        <v>300</v>
      </c>
      <c r="AA72" s="77">
        <f>AA$57*Lists!$D$8</f>
        <v>300</v>
      </c>
      <c r="AB72" s="77">
        <f>AB$57*Lists!$D$8</f>
        <v>300</v>
      </c>
      <c r="AC72" s="77">
        <f>AC$57*Lists!$D$8</f>
        <v>300</v>
      </c>
      <c r="AD72" s="77">
        <f>AD$57*Lists!$D$8</f>
        <v>300</v>
      </c>
      <c r="AE72" s="77">
        <f>AE$57*Lists!$D$8</f>
        <v>300</v>
      </c>
      <c r="AF72" s="78">
        <f>SUM(T72:AE72)</f>
        <v>3600</v>
      </c>
      <c r="AG72" s="77">
        <f>AG$57*Lists!$D$8</f>
        <v>360</v>
      </c>
      <c r="AH72" s="77">
        <f>AH$57*Lists!$D$8</f>
        <v>360</v>
      </c>
      <c r="AI72" s="77">
        <f>AI$57*Lists!$D$8</f>
        <v>360</v>
      </c>
      <c r="AJ72" s="77">
        <f>AJ$57*Lists!$D$8</f>
        <v>360</v>
      </c>
      <c r="AK72" s="77">
        <f>AK$57*Lists!$D$8</f>
        <v>360</v>
      </c>
      <c r="AL72" s="77">
        <f>AL$57*Lists!$D$8</f>
        <v>360</v>
      </c>
      <c r="AM72" s="77">
        <f>AM$57*Lists!$D$8</f>
        <v>360</v>
      </c>
      <c r="AN72" s="77">
        <f>AN$57*Lists!$D$8</f>
        <v>360</v>
      </c>
      <c r="AO72" s="77">
        <f>AO$57*Lists!$D$8</f>
        <v>360</v>
      </c>
      <c r="AP72" s="77">
        <f>AP$57*Lists!$D$8</f>
        <v>360</v>
      </c>
      <c r="AQ72" s="77">
        <f>AQ$57*Lists!$D$8</f>
        <v>360</v>
      </c>
      <c r="AR72" s="77">
        <f>AR$57*Lists!$D$8</f>
        <v>360</v>
      </c>
      <c r="AS72" s="78">
        <f>SUM(AG72:AR72)</f>
        <v>4320</v>
      </c>
      <c r="AT72" s="77">
        <f>AT$57*Lists!$D$8</f>
        <v>480</v>
      </c>
      <c r="AU72" s="77">
        <f>AU$57*Lists!$D$8</f>
        <v>480</v>
      </c>
      <c r="AV72" s="77">
        <f>AV$57*Lists!$D$8</f>
        <v>480</v>
      </c>
      <c r="AW72" s="77">
        <f>AW$57*Lists!$D$8</f>
        <v>480</v>
      </c>
      <c r="AX72" s="77">
        <f>AX$57*Lists!$D$8</f>
        <v>480</v>
      </c>
      <c r="AY72" s="77">
        <f>AY$57*Lists!$D$8</f>
        <v>480</v>
      </c>
      <c r="AZ72" s="77">
        <f>AZ$57*Lists!$D$8</f>
        <v>480</v>
      </c>
      <c r="BA72" s="77">
        <f>BA$57*Lists!$D$8</f>
        <v>480</v>
      </c>
      <c r="BB72" s="77">
        <f>BB$57*Lists!$D$8</f>
        <v>480</v>
      </c>
      <c r="BC72" s="77">
        <f>BC$57*Lists!$D$8</f>
        <v>480</v>
      </c>
      <c r="BD72" s="77">
        <f>BD$57*Lists!$D$8</f>
        <v>480</v>
      </c>
      <c r="BE72" s="77">
        <f>BE$57*Lists!$D$8</f>
        <v>480</v>
      </c>
      <c r="BF72" s="78">
        <f>SUM(AT72:BE72)</f>
        <v>5760</v>
      </c>
      <c r="BG72" s="77">
        <f>BG$57*Lists!$D$8</f>
        <v>540</v>
      </c>
      <c r="BH72" s="77">
        <f>BH$57*Lists!$D$8</f>
        <v>540</v>
      </c>
      <c r="BI72" s="77">
        <f>BI$57*Lists!$D$8</f>
        <v>540</v>
      </c>
      <c r="BJ72" s="77">
        <f>BJ$57*Lists!$D$8</f>
        <v>540</v>
      </c>
      <c r="BK72" s="77">
        <f>BK$57*Lists!$D$8</f>
        <v>540</v>
      </c>
      <c r="BL72" s="77">
        <f>BL$57*Lists!$D$8</f>
        <v>540</v>
      </c>
      <c r="BM72" s="77">
        <f>BM$57*Lists!$D$8</f>
        <v>540</v>
      </c>
      <c r="BN72" s="77">
        <f>BN$57*Lists!$D$8</f>
        <v>540</v>
      </c>
      <c r="BO72" s="77">
        <f>BO$57*Lists!$D$8</f>
        <v>540</v>
      </c>
      <c r="BP72" s="77">
        <f>BP$57*Lists!$D$8</f>
        <v>540</v>
      </c>
      <c r="BQ72" s="77">
        <f>BQ$57*Lists!$D$8</f>
        <v>540</v>
      </c>
      <c r="BR72" s="77">
        <f>BR$57*Lists!$D$8</f>
        <v>540</v>
      </c>
      <c r="BS72" s="78">
        <f>SUM(BG72:BR72)</f>
        <v>6480</v>
      </c>
      <c r="BT72" s="37">
        <f>S72+AF72+AS72+BF72+BS72</f>
        <v>20160</v>
      </c>
    </row>
    <row r="73" spans="1:72" ht="15.75" customHeight="1">
      <c r="A73" s="2"/>
      <c r="B73" s="2"/>
      <c r="C73" s="2"/>
      <c r="D73" s="2" t="s">
        <v>228</v>
      </c>
      <c r="E73" s="2"/>
      <c r="F73" s="2"/>
      <c r="G73" s="88">
        <f>G57*6</f>
        <v>0</v>
      </c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78">
        <f>SUM(G73:R73)</f>
        <v>0</v>
      </c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78">
        <f>SUM(T73:AE73)</f>
        <v>0</v>
      </c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78">
        <f>SUM(AG73:AR73)</f>
        <v>0</v>
      </c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78">
        <f>SUM(AT73:BE73)</f>
        <v>0</v>
      </c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78">
        <f>SUM(BG73:BR73)</f>
        <v>0</v>
      </c>
      <c r="BT73" s="37">
        <f>S73+AF73+AS73+BF73+BS73</f>
        <v>0</v>
      </c>
    </row>
    <row r="74" spans="1:72" ht="15.75" customHeight="1">
      <c r="A74" s="2"/>
      <c r="B74" s="2"/>
      <c r="C74" s="2"/>
      <c r="D74" s="2" t="s">
        <v>225</v>
      </c>
      <c r="E74" s="2"/>
      <c r="F74" s="2"/>
      <c r="G74" s="77" t="e">
        <f>'Beer Revenue'!#REF!</f>
        <v>#REF!</v>
      </c>
      <c r="H74" s="77" t="e">
        <f>'Beer Revenue'!#REF!</f>
        <v>#REF!</v>
      </c>
      <c r="I74" s="77" t="e">
        <f>'Beer Revenue'!#REF!</f>
        <v>#REF!</v>
      </c>
      <c r="J74" s="77" t="e">
        <f>'Beer Revenue'!#REF!</f>
        <v>#REF!</v>
      </c>
      <c r="K74" s="77" t="e">
        <f>'Beer Revenue'!#REF!</f>
        <v>#REF!</v>
      </c>
      <c r="L74" s="77" t="e">
        <f>'Beer Revenue'!#REF!</f>
        <v>#REF!</v>
      </c>
      <c r="M74" s="77" t="e">
        <f>'Beer Revenue'!#REF!</f>
        <v>#REF!</v>
      </c>
      <c r="N74" s="77" t="e">
        <f>'Beer Revenue'!#REF!</f>
        <v>#REF!</v>
      </c>
      <c r="O74" s="77" t="e">
        <f>'Beer Revenue'!#REF!</f>
        <v>#REF!</v>
      </c>
      <c r="P74" s="77" t="e">
        <f>'Beer Revenue'!#REF!</f>
        <v>#REF!</v>
      </c>
      <c r="Q74" s="77" t="e">
        <f>'Beer Revenue'!#REF!</f>
        <v>#REF!</v>
      </c>
      <c r="R74" s="77" t="e">
        <f>'Beer Revenue'!#REF!</f>
        <v>#REF!</v>
      </c>
      <c r="S74" s="78" t="e">
        <f>SUM(G74:R74)</f>
        <v>#REF!</v>
      </c>
      <c r="T74" s="77" t="e">
        <f>'Beer Revenue'!#REF!</f>
        <v>#REF!</v>
      </c>
      <c r="U74" s="77" t="e">
        <f>'Beer Revenue'!#REF!</f>
        <v>#REF!</v>
      </c>
      <c r="V74" s="77" t="e">
        <f>'Beer Revenue'!#REF!</f>
        <v>#REF!</v>
      </c>
      <c r="W74" s="77" t="e">
        <f>'Beer Revenue'!#REF!</f>
        <v>#REF!</v>
      </c>
      <c r="X74" s="77" t="e">
        <f>'Beer Revenue'!#REF!</f>
        <v>#REF!</v>
      </c>
      <c r="Y74" s="77" t="e">
        <f>'Beer Revenue'!#REF!</f>
        <v>#REF!</v>
      </c>
      <c r="Z74" s="77" t="e">
        <f>'Beer Revenue'!#REF!</f>
        <v>#REF!</v>
      </c>
      <c r="AA74" s="77" t="e">
        <f>'Beer Revenue'!#REF!</f>
        <v>#REF!</v>
      </c>
      <c r="AB74" s="77" t="e">
        <f>'Beer Revenue'!#REF!</f>
        <v>#REF!</v>
      </c>
      <c r="AC74" s="77" t="e">
        <f>'Beer Revenue'!#REF!</f>
        <v>#REF!</v>
      </c>
      <c r="AD74" s="77" t="e">
        <f>'Beer Revenue'!#REF!</f>
        <v>#REF!</v>
      </c>
      <c r="AE74" s="77" t="e">
        <f>'Beer Revenue'!#REF!</f>
        <v>#REF!</v>
      </c>
      <c r="AF74" s="78" t="e">
        <f>SUM(T74:AE74)</f>
        <v>#REF!</v>
      </c>
      <c r="AG74" s="77" t="e">
        <f>'Beer Revenue'!#REF!</f>
        <v>#REF!</v>
      </c>
      <c r="AH74" s="77" t="e">
        <f>'Beer Revenue'!#REF!</f>
        <v>#REF!</v>
      </c>
      <c r="AI74" s="77" t="e">
        <f>'Beer Revenue'!#REF!</f>
        <v>#REF!</v>
      </c>
      <c r="AJ74" s="77" t="e">
        <f>'Beer Revenue'!#REF!</f>
        <v>#REF!</v>
      </c>
      <c r="AK74" s="77" t="e">
        <f>'Beer Revenue'!#REF!</f>
        <v>#REF!</v>
      </c>
      <c r="AL74" s="77" t="e">
        <f>'Beer Revenue'!#REF!</f>
        <v>#REF!</v>
      </c>
      <c r="AM74" s="77" t="e">
        <f>'Beer Revenue'!#REF!</f>
        <v>#REF!</v>
      </c>
      <c r="AN74" s="77" t="e">
        <f>'Beer Revenue'!#REF!</f>
        <v>#REF!</v>
      </c>
      <c r="AO74" s="77" t="e">
        <f>'Beer Revenue'!#REF!</f>
        <v>#REF!</v>
      </c>
      <c r="AP74" s="77" t="e">
        <f>'Beer Revenue'!#REF!</f>
        <v>#REF!</v>
      </c>
      <c r="AQ74" s="77" t="e">
        <f>'Beer Revenue'!#REF!</f>
        <v>#REF!</v>
      </c>
      <c r="AR74" s="77" t="e">
        <f>'Beer Revenue'!#REF!</f>
        <v>#REF!</v>
      </c>
      <c r="AS74" s="78" t="e">
        <f>SUM(AG74:AR74)</f>
        <v>#REF!</v>
      </c>
      <c r="AT74" s="77" t="e">
        <f>'Beer Revenue'!#REF!</f>
        <v>#REF!</v>
      </c>
      <c r="AU74" s="77" t="e">
        <f>'Beer Revenue'!#REF!</f>
        <v>#REF!</v>
      </c>
      <c r="AV74" s="77" t="e">
        <f>'Beer Revenue'!#REF!</f>
        <v>#REF!</v>
      </c>
      <c r="AW74" s="77" t="e">
        <f>'Beer Revenue'!#REF!</f>
        <v>#REF!</v>
      </c>
      <c r="AX74" s="77" t="e">
        <f>'Beer Revenue'!#REF!</f>
        <v>#REF!</v>
      </c>
      <c r="AY74" s="77" t="e">
        <f>'Beer Revenue'!#REF!</f>
        <v>#REF!</v>
      </c>
      <c r="AZ74" s="77" t="e">
        <f>'Beer Revenue'!#REF!</f>
        <v>#REF!</v>
      </c>
      <c r="BA74" s="77" t="e">
        <f>'Beer Revenue'!#REF!</f>
        <v>#REF!</v>
      </c>
      <c r="BB74" s="77" t="e">
        <f>'Beer Revenue'!#REF!</f>
        <v>#REF!</v>
      </c>
      <c r="BC74" s="77" t="e">
        <f>'Beer Revenue'!#REF!</f>
        <v>#REF!</v>
      </c>
      <c r="BD74" s="77" t="e">
        <f>'Beer Revenue'!#REF!</f>
        <v>#REF!</v>
      </c>
      <c r="BE74" s="77" t="e">
        <f>'Beer Revenue'!#REF!</f>
        <v>#REF!</v>
      </c>
      <c r="BF74" s="78" t="e">
        <f>SUM(AT74:BE74)</f>
        <v>#REF!</v>
      </c>
      <c r="BG74" s="77" t="e">
        <f>'Beer Revenue'!#REF!</f>
        <v>#REF!</v>
      </c>
      <c r="BH74" s="77" t="e">
        <f>'Beer Revenue'!#REF!</f>
        <v>#REF!</v>
      </c>
      <c r="BI74" s="77" t="e">
        <f>'Beer Revenue'!#REF!</f>
        <v>#REF!</v>
      </c>
      <c r="BJ74" s="77" t="e">
        <f>'Beer Revenue'!#REF!</f>
        <v>#REF!</v>
      </c>
      <c r="BK74" s="77" t="e">
        <f>'Beer Revenue'!#REF!</f>
        <v>#REF!</v>
      </c>
      <c r="BL74" s="77" t="e">
        <f>'Beer Revenue'!#REF!</f>
        <v>#REF!</v>
      </c>
      <c r="BM74" s="77" t="e">
        <f>'Beer Revenue'!#REF!</f>
        <v>#REF!</v>
      </c>
      <c r="BN74" s="77" t="e">
        <f>'Beer Revenue'!#REF!</f>
        <v>#REF!</v>
      </c>
      <c r="BO74" s="77" t="e">
        <f>'Beer Revenue'!#REF!</f>
        <v>#REF!</v>
      </c>
      <c r="BP74" s="77" t="e">
        <f>'Beer Revenue'!#REF!</f>
        <v>#REF!</v>
      </c>
      <c r="BQ74" s="77" t="e">
        <f>'Beer Revenue'!#REF!</f>
        <v>#REF!</v>
      </c>
      <c r="BR74" s="77" t="e">
        <f>'Beer Revenue'!#REF!</f>
        <v>#REF!</v>
      </c>
      <c r="BS74" s="78" t="e">
        <f>SUM(BG74:BR74)</f>
        <v>#REF!</v>
      </c>
      <c r="BT74" s="37" t="e">
        <f>S74+AF74+AS74+BF74+BS74</f>
        <v>#REF!</v>
      </c>
    </row>
    <row r="75" spans="1:72" ht="15.75" customHeight="1">
      <c r="A75" s="2"/>
      <c r="B75" s="2"/>
      <c r="C75" s="2"/>
      <c r="D75" s="2" t="s">
        <v>226</v>
      </c>
      <c r="E75" s="2"/>
      <c r="F75" s="2"/>
      <c r="G75" s="77" t="e">
        <f t="shared" ref="G75:BT75" si="35">G71+G72-G73-G74</f>
        <v>#REF!</v>
      </c>
      <c r="H75" s="77" t="e">
        <f t="shared" si="35"/>
        <v>#REF!</v>
      </c>
      <c r="I75" s="77" t="e">
        <f t="shared" si="35"/>
        <v>#REF!</v>
      </c>
      <c r="J75" s="77" t="e">
        <f t="shared" si="35"/>
        <v>#REF!</v>
      </c>
      <c r="K75" s="77" t="e">
        <f t="shared" si="35"/>
        <v>#REF!</v>
      </c>
      <c r="L75" s="77" t="e">
        <f t="shared" si="35"/>
        <v>#REF!</v>
      </c>
      <c r="M75" s="77" t="e">
        <f t="shared" si="35"/>
        <v>#REF!</v>
      </c>
      <c r="N75" s="77" t="e">
        <f t="shared" si="35"/>
        <v>#REF!</v>
      </c>
      <c r="O75" s="77" t="e">
        <f t="shared" si="35"/>
        <v>#REF!</v>
      </c>
      <c r="P75" s="77" t="e">
        <f t="shared" si="35"/>
        <v>#REF!</v>
      </c>
      <c r="Q75" s="77" t="e">
        <f t="shared" si="35"/>
        <v>#REF!</v>
      </c>
      <c r="R75" s="77" t="e">
        <f t="shared" si="35"/>
        <v>#REF!</v>
      </c>
      <c r="S75" s="78" t="e">
        <f t="shared" si="35"/>
        <v>#REF!</v>
      </c>
      <c r="T75" s="77" t="e">
        <f t="shared" si="35"/>
        <v>#REF!</v>
      </c>
      <c r="U75" s="77" t="e">
        <f t="shared" si="35"/>
        <v>#REF!</v>
      </c>
      <c r="V75" s="77" t="e">
        <f t="shared" si="35"/>
        <v>#REF!</v>
      </c>
      <c r="W75" s="77" t="e">
        <f t="shared" si="35"/>
        <v>#REF!</v>
      </c>
      <c r="X75" s="77" t="e">
        <f t="shared" si="35"/>
        <v>#REF!</v>
      </c>
      <c r="Y75" s="77" t="e">
        <f t="shared" si="35"/>
        <v>#REF!</v>
      </c>
      <c r="Z75" s="77" t="e">
        <f t="shared" si="35"/>
        <v>#REF!</v>
      </c>
      <c r="AA75" s="77" t="e">
        <f t="shared" si="35"/>
        <v>#REF!</v>
      </c>
      <c r="AB75" s="77" t="e">
        <f t="shared" si="35"/>
        <v>#REF!</v>
      </c>
      <c r="AC75" s="77" t="e">
        <f t="shared" si="35"/>
        <v>#REF!</v>
      </c>
      <c r="AD75" s="77" t="e">
        <f t="shared" si="35"/>
        <v>#REF!</v>
      </c>
      <c r="AE75" s="77" t="e">
        <f t="shared" si="35"/>
        <v>#REF!</v>
      </c>
      <c r="AF75" s="78" t="e">
        <f t="shared" si="35"/>
        <v>#REF!</v>
      </c>
      <c r="AG75" s="77" t="e">
        <f t="shared" si="35"/>
        <v>#REF!</v>
      </c>
      <c r="AH75" s="77" t="e">
        <f t="shared" si="35"/>
        <v>#REF!</v>
      </c>
      <c r="AI75" s="77" t="e">
        <f t="shared" si="35"/>
        <v>#REF!</v>
      </c>
      <c r="AJ75" s="77" t="e">
        <f t="shared" si="35"/>
        <v>#REF!</v>
      </c>
      <c r="AK75" s="77" t="e">
        <f t="shared" si="35"/>
        <v>#REF!</v>
      </c>
      <c r="AL75" s="77" t="e">
        <f t="shared" si="35"/>
        <v>#REF!</v>
      </c>
      <c r="AM75" s="77" t="e">
        <f t="shared" si="35"/>
        <v>#REF!</v>
      </c>
      <c r="AN75" s="77" t="e">
        <f t="shared" si="35"/>
        <v>#REF!</v>
      </c>
      <c r="AO75" s="77" t="e">
        <f t="shared" si="35"/>
        <v>#REF!</v>
      </c>
      <c r="AP75" s="77" t="e">
        <f t="shared" si="35"/>
        <v>#REF!</v>
      </c>
      <c r="AQ75" s="77" t="e">
        <f t="shared" si="35"/>
        <v>#REF!</v>
      </c>
      <c r="AR75" s="77" t="e">
        <f t="shared" si="35"/>
        <v>#REF!</v>
      </c>
      <c r="AS75" s="78" t="e">
        <f t="shared" si="35"/>
        <v>#REF!</v>
      </c>
      <c r="AT75" s="77" t="e">
        <f t="shared" si="35"/>
        <v>#REF!</v>
      </c>
      <c r="AU75" s="77" t="e">
        <f t="shared" si="35"/>
        <v>#REF!</v>
      </c>
      <c r="AV75" s="77" t="e">
        <f t="shared" si="35"/>
        <v>#REF!</v>
      </c>
      <c r="AW75" s="77" t="e">
        <f t="shared" si="35"/>
        <v>#REF!</v>
      </c>
      <c r="AX75" s="77" t="e">
        <f t="shared" si="35"/>
        <v>#REF!</v>
      </c>
      <c r="AY75" s="77" t="e">
        <f t="shared" si="35"/>
        <v>#REF!</v>
      </c>
      <c r="AZ75" s="77" t="e">
        <f t="shared" si="35"/>
        <v>#REF!</v>
      </c>
      <c r="BA75" s="77" t="e">
        <f t="shared" si="35"/>
        <v>#REF!</v>
      </c>
      <c r="BB75" s="77" t="e">
        <f t="shared" si="35"/>
        <v>#REF!</v>
      </c>
      <c r="BC75" s="77" t="e">
        <f t="shared" si="35"/>
        <v>#REF!</v>
      </c>
      <c r="BD75" s="77" t="e">
        <f t="shared" si="35"/>
        <v>#REF!</v>
      </c>
      <c r="BE75" s="77" t="e">
        <f t="shared" si="35"/>
        <v>#REF!</v>
      </c>
      <c r="BF75" s="78" t="e">
        <f t="shared" si="35"/>
        <v>#REF!</v>
      </c>
      <c r="BG75" s="77" t="e">
        <f t="shared" si="35"/>
        <v>#REF!</v>
      </c>
      <c r="BH75" s="77" t="e">
        <f t="shared" si="35"/>
        <v>#REF!</v>
      </c>
      <c r="BI75" s="77" t="e">
        <f t="shared" si="35"/>
        <v>#REF!</v>
      </c>
      <c r="BJ75" s="77" t="e">
        <f t="shared" si="35"/>
        <v>#REF!</v>
      </c>
      <c r="BK75" s="77" t="e">
        <f t="shared" si="35"/>
        <v>#REF!</v>
      </c>
      <c r="BL75" s="77" t="e">
        <f t="shared" si="35"/>
        <v>#REF!</v>
      </c>
      <c r="BM75" s="77" t="e">
        <f t="shared" si="35"/>
        <v>#REF!</v>
      </c>
      <c r="BN75" s="77" t="e">
        <f t="shared" si="35"/>
        <v>#REF!</v>
      </c>
      <c r="BO75" s="77" t="e">
        <f t="shared" si="35"/>
        <v>#REF!</v>
      </c>
      <c r="BP75" s="77" t="e">
        <f t="shared" si="35"/>
        <v>#REF!</v>
      </c>
      <c r="BQ75" s="77" t="e">
        <f t="shared" si="35"/>
        <v>#REF!</v>
      </c>
      <c r="BR75" s="77" t="e">
        <f t="shared" si="35"/>
        <v>#REF!</v>
      </c>
      <c r="BS75" s="78" t="e">
        <f t="shared" si="35"/>
        <v>#REF!</v>
      </c>
      <c r="BT75" s="78" t="e">
        <f t="shared" si="35"/>
        <v>#REF!</v>
      </c>
    </row>
    <row r="76" spans="1:72" ht="15.75" customHeight="1">
      <c r="A76" s="2"/>
      <c r="B76" s="2"/>
      <c r="C76" s="2"/>
      <c r="D76" s="2"/>
      <c r="E76" s="2"/>
      <c r="F76" s="2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8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8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8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8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8"/>
      <c r="BT76" s="1"/>
    </row>
    <row r="77" spans="1:72" ht="15.75" customHeight="1">
      <c r="A77" s="2"/>
      <c r="B77" s="2"/>
      <c r="C77" s="2" t="s">
        <v>229</v>
      </c>
      <c r="D77" s="2"/>
      <c r="E77" s="2"/>
      <c r="F77" s="2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8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8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8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8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8"/>
      <c r="BT77" s="1"/>
    </row>
    <row r="78" spans="1:72" ht="15.75" customHeight="1">
      <c r="A78" s="2"/>
      <c r="B78" s="2"/>
      <c r="C78" s="2"/>
      <c r="D78" s="2" t="s">
        <v>213</v>
      </c>
      <c r="E78" s="2"/>
      <c r="F78" s="2"/>
      <c r="G78" s="77">
        <v>0</v>
      </c>
      <c r="H78" s="77" t="e">
        <f t="shared" ref="H78:R78" si="36">G82</f>
        <v>#REF!</v>
      </c>
      <c r="I78" s="77" t="e">
        <f t="shared" si="36"/>
        <v>#REF!</v>
      </c>
      <c r="J78" s="77" t="e">
        <f t="shared" si="36"/>
        <v>#REF!</v>
      </c>
      <c r="K78" s="77" t="e">
        <f t="shared" si="36"/>
        <v>#REF!</v>
      </c>
      <c r="L78" s="77" t="e">
        <f t="shared" si="36"/>
        <v>#REF!</v>
      </c>
      <c r="M78" s="77" t="e">
        <f t="shared" si="36"/>
        <v>#REF!</v>
      </c>
      <c r="N78" s="77" t="e">
        <f t="shared" si="36"/>
        <v>#REF!</v>
      </c>
      <c r="O78" s="77" t="e">
        <f t="shared" si="36"/>
        <v>#REF!</v>
      </c>
      <c r="P78" s="77" t="e">
        <f t="shared" si="36"/>
        <v>#REF!</v>
      </c>
      <c r="Q78" s="77" t="e">
        <f t="shared" si="36"/>
        <v>#REF!</v>
      </c>
      <c r="R78" s="77" t="e">
        <f t="shared" si="36"/>
        <v>#REF!</v>
      </c>
      <c r="S78" s="78">
        <f>G78</f>
        <v>0</v>
      </c>
      <c r="T78" s="77" t="e">
        <f>R82</f>
        <v>#REF!</v>
      </c>
      <c r="U78" s="77" t="e">
        <f t="shared" ref="U78:AE78" si="37">T82</f>
        <v>#REF!</v>
      </c>
      <c r="V78" s="77" t="e">
        <f t="shared" si="37"/>
        <v>#REF!</v>
      </c>
      <c r="W78" s="77" t="e">
        <f t="shared" si="37"/>
        <v>#REF!</v>
      </c>
      <c r="X78" s="77" t="e">
        <f t="shared" si="37"/>
        <v>#REF!</v>
      </c>
      <c r="Y78" s="77" t="e">
        <f t="shared" si="37"/>
        <v>#REF!</v>
      </c>
      <c r="Z78" s="77" t="e">
        <f t="shared" si="37"/>
        <v>#REF!</v>
      </c>
      <c r="AA78" s="77" t="e">
        <f t="shared" si="37"/>
        <v>#REF!</v>
      </c>
      <c r="AB78" s="77" t="e">
        <f t="shared" si="37"/>
        <v>#REF!</v>
      </c>
      <c r="AC78" s="77" t="e">
        <f t="shared" si="37"/>
        <v>#REF!</v>
      </c>
      <c r="AD78" s="77" t="e">
        <f t="shared" si="37"/>
        <v>#REF!</v>
      </c>
      <c r="AE78" s="77" t="e">
        <f t="shared" si="37"/>
        <v>#REF!</v>
      </c>
      <c r="AF78" s="78" t="e">
        <f>T78</f>
        <v>#REF!</v>
      </c>
      <c r="AG78" s="77" t="e">
        <f>AE82</f>
        <v>#REF!</v>
      </c>
      <c r="AH78" s="77" t="e">
        <f t="shared" ref="AH78:AR78" si="38">AG82</f>
        <v>#REF!</v>
      </c>
      <c r="AI78" s="77" t="e">
        <f t="shared" si="38"/>
        <v>#REF!</v>
      </c>
      <c r="AJ78" s="77" t="e">
        <f t="shared" si="38"/>
        <v>#REF!</v>
      </c>
      <c r="AK78" s="77" t="e">
        <f t="shared" si="38"/>
        <v>#REF!</v>
      </c>
      <c r="AL78" s="77" t="e">
        <f t="shared" si="38"/>
        <v>#REF!</v>
      </c>
      <c r="AM78" s="77" t="e">
        <f t="shared" si="38"/>
        <v>#REF!</v>
      </c>
      <c r="AN78" s="77" t="e">
        <f t="shared" si="38"/>
        <v>#REF!</v>
      </c>
      <c r="AO78" s="77" t="e">
        <f t="shared" si="38"/>
        <v>#REF!</v>
      </c>
      <c r="AP78" s="77" t="e">
        <f t="shared" si="38"/>
        <v>#REF!</v>
      </c>
      <c r="AQ78" s="77" t="e">
        <f t="shared" si="38"/>
        <v>#REF!</v>
      </c>
      <c r="AR78" s="77" t="e">
        <f t="shared" si="38"/>
        <v>#REF!</v>
      </c>
      <c r="AS78" s="78" t="e">
        <f>AG78</f>
        <v>#REF!</v>
      </c>
      <c r="AT78" s="77" t="e">
        <f>AR82</f>
        <v>#REF!</v>
      </c>
      <c r="AU78" s="77" t="e">
        <f t="shared" ref="AU78:BE78" si="39">AT82</f>
        <v>#REF!</v>
      </c>
      <c r="AV78" s="77" t="e">
        <f t="shared" si="39"/>
        <v>#REF!</v>
      </c>
      <c r="AW78" s="77" t="e">
        <f t="shared" si="39"/>
        <v>#REF!</v>
      </c>
      <c r="AX78" s="77" t="e">
        <f t="shared" si="39"/>
        <v>#REF!</v>
      </c>
      <c r="AY78" s="77" t="e">
        <f t="shared" si="39"/>
        <v>#REF!</v>
      </c>
      <c r="AZ78" s="77" t="e">
        <f t="shared" si="39"/>
        <v>#REF!</v>
      </c>
      <c r="BA78" s="77" t="e">
        <f t="shared" si="39"/>
        <v>#REF!</v>
      </c>
      <c r="BB78" s="77" t="e">
        <f t="shared" si="39"/>
        <v>#REF!</v>
      </c>
      <c r="BC78" s="77" t="e">
        <f t="shared" si="39"/>
        <v>#REF!</v>
      </c>
      <c r="BD78" s="77" t="e">
        <f t="shared" si="39"/>
        <v>#REF!</v>
      </c>
      <c r="BE78" s="77" t="e">
        <f t="shared" si="39"/>
        <v>#REF!</v>
      </c>
      <c r="BF78" s="78" t="e">
        <f>AT78</f>
        <v>#REF!</v>
      </c>
      <c r="BG78" s="77" t="e">
        <f>BE82</f>
        <v>#REF!</v>
      </c>
      <c r="BH78" s="77" t="e">
        <f t="shared" ref="BH78:BR78" si="40">BG82</f>
        <v>#REF!</v>
      </c>
      <c r="BI78" s="77" t="e">
        <f t="shared" si="40"/>
        <v>#REF!</v>
      </c>
      <c r="BJ78" s="77" t="e">
        <f t="shared" si="40"/>
        <v>#REF!</v>
      </c>
      <c r="BK78" s="77" t="e">
        <f t="shared" si="40"/>
        <v>#REF!</v>
      </c>
      <c r="BL78" s="77" t="e">
        <f t="shared" si="40"/>
        <v>#REF!</v>
      </c>
      <c r="BM78" s="77" t="e">
        <f t="shared" si="40"/>
        <v>#REF!</v>
      </c>
      <c r="BN78" s="77" t="e">
        <f t="shared" si="40"/>
        <v>#REF!</v>
      </c>
      <c r="BO78" s="77" t="e">
        <f t="shared" si="40"/>
        <v>#REF!</v>
      </c>
      <c r="BP78" s="77" t="e">
        <f t="shared" si="40"/>
        <v>#REF!</v>
      </c>
      <c r="BQ78" s="77" t="e">
        <f t="shared" si="40"/>
        <v>#REF!</v>
      </c>
      <c r="BR78" s="77" t="e">
        <f t="shared" si="40"/>
        <v>#REF!</v>
      </c>
      <c r="BS78" s="78" t="e">
        <f>BG78</f>
        <v>#REF!</v>
      </c>
      <c r="BT78" s="78">
        <f>G78</f>
        <v>0</v>
      </c>
    </row>
    <row r="79" spans="1:72" ht="15.75" customHeight="1">
      <c r="A79" s="2"/>
      <c r="B79" s="2"/>
      <c r="C79" s="2"/>
      <c r="D79" s="2" t="s">
        <v>223</v>
      </c>
      <c r="E79" s="2"/>
      <c r="F79" s="2"/>
      <c r="G79" s="77">
        <f>G$58*Lists!$D$9</f>
        <v>54.8</v>
      </c>
      <c r="H79" s="77">
        <f>H$58*Lists!$D$9</f>
        <v>0</v>
      </c>
      <c r="I79" s="77">
        <f>I$58*Lists!$D$9</f>
        <v>0</v>
      </c>
      <c r="J79" s="77">
        <f>J$58*Lists!$D$9</f>
        <v>0</v>
      </c>
      <c r="K79" s="77">
        <f>K$58*Lists!$D$9</f>
        <v>0</v>
      </c>
      <c r="L79" s="77">
        <f>L$58*Lists!$D$9</f>
        <v>0</v>
      </c>
      <c r="M79" s="77">
        <f>M$58*Lists!$D$9</f>
        <v>0</v>
      </c>
      <c r="N79" s="77">
        <f>N$58*Lists!$D$9</f>
        <v>0</v>
      </c>
      <c r="O79" s="77">
        <f>O$58*Lists!$D$9</f>
        <v>0</v>
      </c>
      <c r="P79" s="77">
        <f>P$58*Lists!$D$9</f>
        <v>0</v>
      </c>
      <c r="Q79" s="77">
        <f>Q$58*Lists!$D$9</f>
        <v>0</v>
      </c>
      <c r="R79" s="77">
        <f>R$58*Lists!$D$9</f>
        <v>0</v>
      </c>
      <c r="S79" s="78">
        <f>SUM(G79:R79)</f>
        <v>54.8</v>
      </c>
      <c r="T79" s="77">
        <f>T$58*Lists!$D$9</f>
        <v>180</v>
      </c>
      <c r="U79" s="77">
        <f>U$58*Lists!$D$9</f>
        <v>180</v>
      </c>
      <c r="V79" s="77">
        <f>V$58*Lists!$D$9</f>
        <v>180</v>
      </c>
      <c r="W79" s="77">
        <f>W$58*Lists!$D$9</f>
        <v>180</v>
      </c>
      <c r="X79" s="77">
        <f>X$58*Lists!$D$9</f>
        <v>180</v>
      </c>
      <c r="Y79" s="77">
        <f>Y$58*Lists!$D$9</f>
        <v>180</v>
      </c>
      <c r="Z79" s="77">
        <f>Z$58*Lists!$D$9</f>
        <v>180</v>
      </c>
      <c r="AA79" s="77">
        <f>AA$58*Lists!$D$9</f>
        <v>180</v>
      </c>
      <c r="AB79" s="77">
        <f>AB$58*Lists!$D$9</f>
        <v>180</v>
      </c>
      <c r="AC79" s="77">
        <f>AC$58*Lists!$D$9</f>
        <v>180</v>
      </c>
      <c r="AD79" s="77">
        <f>AD$58*Lists!$D$9</f>
        <v>180</v>
      </c>
      <c r="AE79" s="77">
        <f>AE$58*Lists!$D$9</f>
        <v>180</v>
      </c>
      <c r="AF79" s="78">
        <f>SUM(T79:AE79)</f>
        <v>2160</v>
      </c>
      <c r="AG79" s="77">
        <f>AG$58*Lists!$D$9</f>
        <v>200</v>
      </c>
      <c r="AH79" s="77">
        <f>AH$58*Lists!$D$9</f>
        <v>200</v>
      </c>
      <c r="AI79" s="77">
        <f>AI$58*Lists!$D$9</f>
        <v>200</v>
      </c>
      <c r="AJ79" s="77">
        <f>AJ$58*Lists!$D$9</f>
        <v>200</v>
      </c>
      <c r="AK79" s="77">
        <f>AK$58*Lists!$D$9</f>
        <v>200</v>
      </c>
      <c r="AL79" s="77">
        <f>AL$58*Lists!$D$9</f>
        <v>200</v>
      </c>
      <c r="AM79" s="77">
        <f>AM$58*Lists!$D$9</f>
        <v>200</v>
      </c>
      <c r="AN79" s="77">
        <f>AN$58*Lists!$D$9</f>
        <v>200</v>
      </c>
      <c r="AO79" s="77">
        <f>AO$58*Lists!$D$9</f>
        <v>200</v>
      </c>
      <c r="AP79" s="77">
        <f>AP$58*Lists!$D$9</f>
        <v>200</v>
      </c>
      <c r="AQ79" s="77">
        <f>AQ$58*Lists!$D$9</f>
        <v>200</v>
      </c>
      <c r="AR79" s="77">
        <f>AR$58*Lists!$D$9</f>
        <v>200</v>
      </c>
      <c r="AS79" s="78">
        <f>SUM(AG79:AR79)</f>
        <v>2400</v>
      </c>
      <c r="AT79" s="77">
        <f>AT$58*Lists!$D$9</f>
        <v>320</v>
      </c>
      <c r="AU79" s="77">
        <f>AU$58*Lists!$D$9</f>
        <v>320</v>
      </c>
      <c r="AV79" s="77">
        <f>AV$58*Lists!$D$9</f>
        <v>320</v>
      </c>
      <c r="AW79" s="77">
        <f>AW$58*Lists!$D$9</f>
        <v>320</v>
      </c>
      <c r="AX79" s="77">
        <f>AX$58*Lists!$D$9</f>
        <v>320</v>
      </c>
      <c r="AY79" s="77">
        <f>AY$58*Lists!$D$9</f>
        <v>320</v>
      </c>
      <c r="AZ79" s="77">
        <f>AZ$58*Lists!$D$9</f>
        <v>320</v>
      </c>
      <c r="BA79" s="77">
        <f>BA$58*Lists!$D$9</f>
        <v>320</v>
      </c>
      <c r="BB79" s="77">
        <f>BB$58*Lists!$D$9</f>
        <v>320</v>
      </c>
      <c r="BC79" s="77">
        <f>BC$58*Lists!$D$9</f>
        <v>320</v>
      </c>
      <c r="BD79" s="77">
        <f>BD$58*Lists!$D$9</f>
        <v>320</v>
      </c>
      <c r="BE79" s="77">
        <f>BE$58*Lists!$D$9</f>
        <v>320</v>
      </c>
      <c r="BF79" s="78">
        <f>SUM(AT79:BE79)</f>
        <v>3840</v>
      </c>
      <c r="BG79" s="77">
        <f>BG$58*Lists!$D$9</f>
        <v>380</v>
      </c>
      <c r="BH79" s="77">
        <f>BH$58*Lists!$D$9</f>
        <v>380</v>
      </c>
      <c r="BI79" s="77">
        <f>BI$58*Lists!$D$9</f>
        <v>380</v>
      </c>
      <c r="BJ79" s="77">
        <f>BJ$58*Lists!$D$9</f>
        <v>380</v>
      </c>
      <c r="BK79" s="77">
        <f>BK$58*Lists!$D$9</f>
        <v>380</v>
      </c>
      <c r="BL79" s="77">
        <f>BL$58*Lists!$D$9</f>
        <v>380</v>
      </c>
      <c r="BM79" s="77">
        <f>BM$58*Lists!$D$9</f>
        <v>380</v>
      </c>
      <c r="BN79" s="77">
        <f>BN$58*Lists!$D$9</f>
        <v>380</v>
      </c>
      <c r="BO79" s="77">
        <f>BO$58*Lists!$D$9</f>
        <v>380</v>
      </c>
      <c r="BP79" s="77">
        <f>BP$58*Lists!$D$9</f>
        <v>380</v>
      </c>
      <c r="BQ79" s="77">
        <f>BQ$58*Lists!$D$9</f>
        <v>380</v>
      </c>
      <c r="BR79" s="77">
        <f>BR$58*Lists!$D$9</f>
        <v>380</v>
      </c>
      <c r="BS79" s="78">
        <f>SUM(BG79:BR79)</f>
        <v>4560</v>
      </c>
      <c r="BT79" s="37">
        <f>S79+AF79+AS79+BF79+BS79</f>
        <v>13014.8</v>
      </c>
    </row>
    <row r="80" spans="1:72" ht="15.75" customHeight="1">
      <c r="A80" s="2"/>
      <c r="B80" s="2"/>
      <c r="C80" s="2"/>
      <c r="D80" s="2" t="s">
        <v>228</v>
      </c>
      <c r="E80" s="2"/>
      <c r="F80" s="2"/>
      <c r="G80" s="88">
        <f>G58*2</f>
        <v>54.8</v>
      </c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78">
        <f>SUM(G80:R80)</f>
        <v>54.8</v>
      </c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78">
        <f>SUM(T80:AE80)</f>
        <v>0</v>
      </c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78">
        <f>SUM(AG80:AR80)</f>
        <v>0</v>
      </c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78">
        <f>SUM(AT80:BE80)</f>
        <v>0</v>
      </c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78">
        <f>SUM(BG80:BR80)</f>
        <v>0</v>
      </c>
      <c r="BT80" s="37">
        <f>S80+AF80+AS80+BF80+BS80</f>
        <v>54.8</v>
      </c>
    </row>
    <row r="81" spans="1:72" ht="15.75" customHeight="1">
      <c r="A81" s="2"/>
      <c r="B81" s="2"/>
      <c r="C81" s="2"/>
      <c r="D81" s="2" t="s">
        <v>225</v>
      </c>
      <c r="E81" s="2"/>
      <c r="F81" s="2"/>
      <c r="G81" s="77" t="e">
        <f>'Beer Revenue'!#REF!</f>
        <v>#REF!</v>
      </c>
      <c r="H81" s="77" t="e">
        <f>'Beer Revenue'!#REF!</f>
        <v>#REF!</v>
      </c>
      <c r="I81" s="77" t="e">
        <f>'Beer Revenue'!#REF!</f>
        <v>#REF!</v>
      </c>
      <c r="J81" s="77" t="e">
        <f>'Beer Revenue'!#REF!</f>
        <v>#REF!</v>
      </c>
      <c r="K81" s="77" t="e">
        <f>'Beer Revenue'!#REF!</f>
        <v>#REF!</v>
      </c>
      <c r="L81" s="77" t="e">
        <f>'Beer Revenue'!#REF!</f>
        <v>#REF!</v>
      </c>
      <c r="M81" s="77" t="e">
        <f>'Beer Revenue'!#REF!</f>
        <v>#REF!</v>
      </c>
      <c r="N81" s="77" t="e">
        <f>'Beer Revenue'!#REF!</f>
        <v>#REF!</v>
      </c>
      <c r="O81" s="77" t="e">
        <f>'Beer Revenue'!#REF!</f>
        <v>#REF!</v>
      </c>
      <c r="P81" s="77" t="e">
        <f>'Beer Revenue'!#REF!</f>
        <v>#REF!</v>
      </c>
      <c r="Q81" s="77" t="e">
        <f>'Beer Revenue'!#REF!</f>
        <v>#REF!</v>
      </c>
      <c r="R81" s="77" t="e">
        <f>'Beer Revenue'!#REF!</f>
        <v>#REF!</v>
      </c>
      <c r="S81" s="78" t="e">
        <f>SUM(G81:R81)</f>
        <v>#REF!</v>
      </c>
      <c r="T81" s="77" t="e">
        <f>'Beer Revenue'!#REF!</f>
        <v>#REF!</v>
      </c>
      <c r="U81" s="77" t="e">
        <f>'Beer Revenue'!#REF!</f>
        <v>#REF!</v>
      </c>
      <c r="V81" s="77" t="e">
        <f>'Beer Revenue'!#REF!</f>
        <v>#REF!</v>
      </c>
      <c r="W81" s="77" t="e">
        <f>'Beer Revenue'!#REF!</f>
        <v>#REF!</v>
      </c>
      <c r="X81" s="77" t="e">
        <f>'Beer Revenue'!#REF!</f>
        <v>#REF!</v>
      </c>
      <c r="Y81" s="77" t="e">
        <f>'Beer Revenue'!#REF!</f>
        <v>#REF!</v>
      </c>
      <c r="Z81" s="77" t="e">
        <f>'Beer Revenue'!#REF!</f>
        <v>#REF!</v>
      </c>
      <c r="AA81" s="77" t="e">
        <f>'Beer Revenue'!#REF!</f>
        <v>#REF!</v>
      </c>
      <c r="AB81" s="77" t="e">
        <f>'Beer Revenue'!#REF!</f>
        <v>#REF!</v>
      </c>
      <c r="AC81" s="77" t="e">
        <f>'Beer Revenue'!#REF!</f>
        <v>#REF!</v>
      </c>
      <c r="AD81" s="77" t="e">
        <f>'Beer Revenue'!#REF!</f>
        <v>#REF!</v>
      </c>
      <c r="AE81" s="77" t="e">
        <f>'Beer Revenue'!#REF!</f>
        <v>#REF!</v>
      </c>
      <c r="AF81" s="78" t="e">
        <f>SUM(T81:AE81)</f>
        <v>#REF!</v>
      </c>
      <c r="AG81" s="77" t="e">
        <f>'Beer Revenue'!#REF!</f>
        <v>#REF!</v>
      </c>
      <c r="AH81" s="77" t="e">
        <f>'Beer Revenue'!#REF!</f>
        <v>#REF!</v>
      </c>
      <c r="AI81" s="77" t="e">
        <f>'Beer Revenue'!#REF!</f>
        <v>#REF!</v>
      </c>
      <c r="AJ81" s="77" t="e">
        <f>'Beer Revenue'!#REF!</f>
        <v>#REF!</v>
      </c>
      <c r="AK81" s="77" t="e">
        <f>'Beer Revenue'!#REF!</f>
        <v>#REF!</v>
      </c>
      <c r="AL81" s="77" t="e">
        <f>'Beer Revenue'!#REF!</f>
        <v>#REF!</v>
      </c>
      <c r="AM81" s="77" t="e">
        <f>'Beer Revenue'!#REF!</f>
        <v>#REF!</v>
      </c>
      <c r="AN81" s="77" t="e">
        <f>'Beer Revenue'!#REF!</f>
        <v>#REF!</v>
      </c>
      <c r="AO81" s="77" t="e">
        <f>'Beer Revenue'!#REF!</f>
        <v>#REF!</v>
      </c>
      <c r="AP81" s="77" t="e">
        <f>'Beer Revenue'!#REF!</f>
        <v>#REF!</v>
      </c>
      <c r="AQ81" s="77" t="e">
        <f>'Beer Revenue'!#REF!</f>
        <v>#REF!</v>
      </c>
      <c r="AR81" s="77" t="e">
        <f>'Beer Revenue'!#REF!</f>
        <v>#REF!</v>
      </c>
      <c r="AS81" s="78" t="e">
        <f>SUM(AG81:AR81)</f>
        <v>#REF!</v>
      </c>
      <c r="AT81" s="77" t="e">
        <f>'Beer Revenue'!#REF!</f>
        <v>#REF!</v>
      </c>
      <c r="AU81" s="77" t="e">
        <f>'Beer Revenue'!#REF!</f>
        <v>#REF!</v>
      </c>
      <c r="AV81" s="77" t="e">
        <f>'Beer Revenue'!#REF!</f>
        <v>#REF!</v>
      </c>
      <c r="AW81" s="77" t="e">
        <f>'Beer Revenue'!#REF!</f>
        <v>#REF!</v>
      </c>
      <c r="AX81" s="77" t="e">
        <f>'Beer Revenue'!#REF!</f>
        <v>#REF!</v>
      </c>
      <c r="AY81" s="77" t="e">
        <f>'Beer Revenue'!#REF!</f>
        <v>#REF!</v>
      </c>
      <c r="AZ81" s="77" t="e">
        <f>'Beer Revenue'!#REF!</f>
        <v>#REF!</v>
      </c>
      <c r="BA81" s="77" t="e">
        <f>'Beer Revenue'!#REF!</f>
        <v>#REF!</v>
      </c>
      <c r="BB81" s="77" t="e">
        <f>'Beer Revenue'!#REF!</f>
        <v>#REF!</v>
      </c>
      <c r="BC81" s="77" t="e">
        <f>'Beer Revenue'!#REF!</f>
        <v>#REF!</v>
      </c>
      <c r="BD81" s="77" t="e">
        <f>'Beer Revenue'!#REF!</f>
        <v>#REF!</v>
      </c>
      <c r="BE81" s="77" t="e">
        <f>'Beer Revenue'!#REF!</f>
        <v>#REF!</v>
      </c>
      <c r="BF81" s="78" t="e">
        <f>SUM(AT81:BE81)</f>
        <v>#REF!</v>
      </c>
      <c r="BG81" s="77" t="e">
        <f>'Beer Revenue'!#REF!</f>
        <v>#REF!</v>
      </c>
      <c r="BH81" s="77" t="e">
        <f>'Beer Revenue'!#REF!</f>
        <v>#REF!</v>
      </c>
      <c r="BI81" s="77" t="e">
        <f>'Beer Revenue'!#REF!</f>
        <v>#REF!</v>
      </c>
      <c r="BJ81" s="77" t="e">
        <f>'Beer Revenue'!#REF!</f>
        <v>#REF!</v>
      </c>
      <c r="BK81" s="77" t="e">
        <f>'Beer Revenue'!#REF!</f>
        <v>#REF!</v>
      </c>
      <c r="BL81" s="77" t="e">
        <f>'Beer Revenue'!#REF!</f>
        <v>#REF!</v>
      </c>
      <c r="BM81" s="77" t="e">
        <f>'Beer Revenue'!#REF!</f>
        <v>#REF!</v>
      </c>
      <c r="BN81" s="77" t="e">
        <f>'Beer Revenue'!#REF!</f>
        <v>#REF!</v>
      </c>
      <c r="BO81" s="77" t="e">
        <f>'Beer Revenue'!#REF!</f>
        <v>#REF!</v>
      </c>
      <c r="BP81" s="77" t="e">
        <f>'Beer Revenue'!#REF!</f>
        <v>#REF!</v>
      </c>
      <c r="BQ81" s="77" t="e">
        <f>'Beer Revenue'!#REF!</f>
        <v>#REF!</v>
      </c>
      <c r="BR81" s="77" t="e">
        <f>'Beer Revenue'!#REF!</f>
        <v>#REF!</v>
      </c>
      <c r="BS81" s="78" t="e">
        <f>SUM(BG81:BR81)</f>
        <v>#REF!</v>
      </c>
      <c r="BT81" s="37" t="e">
        <f>S81+AF81+AS81+BF81+BS81</f>
        <v>#REF!</v>
      </c>
    </row>
    <row r="82" spans="1:72" ht="15.75" customHeight="1">
      <c r="A82" s="2"/>
      <c r="B82" s="2"/>
      <c r="C82" s="2"/>
      <c r="D82" s="2" t="s">
        <v>226</v>
      </c>
      <c r="E82" s="2"/>
      <c r="F82" s="2"/>
      <c r="G82" s="77" t="e">
        <f t="shared" ref="G82:BT82" si="41">G78+G79-G80-G81</f>
        <v>#REF!</v>
      </c>
      <c r="H82" s="77" t="e">
        <f t="shared" si="41"/>
        <v>#REF!</v>
      </c>
      <c r="I82" s="77" t="e">
        <f t="shared" si="41"/>
        <v>#REF!</v>
      </c>
      <c r="J82" s="77" t="e">
        <f t="shared" si="41"/>
        <v>#REF!</v>
      </c>
      <c r="K82" s="77" t="e">
        <f t="shared" si="41"/>
        <v>#REF!</v>
      </c>
      <c r="L82" s="77" t="e">
        <f t="shared" si="41"/>
        <v>#REF!</v>
      </c>
      <c r="M82" s="77" t="e">
        <f t="shared" si="41"/>
        <v>#REF!</v>
      </c>
      <c r="N82" s="77" t="e">
        <f t="shared" si="41"/>
        <v>#REF!</v>
      </c>
      <c r="O82" s="77" t="e">
        <f t="shared" si="41"/>
        <v>#REF!</v>
      </c>
      <c r="P82" s="77" t="e">
        <f t="shared" si="41"/>
        <v>#REF!</v>
      </c>
      <c r="Q82" s="77" t="e">
        <f t="shared" si="41"/>
        <v>#REF!</v>
      </c>
      <c r="R82" s="77" t="e">
        <f t="shared" si="41"/>
        <v>#REF!</v>
      </c>
      <c r="S82" s="78" t="e">
        <f t="shared" si="41"/>
        <v>#REF!</v>
      </c>
      <c r="T82" s="77" t="e">
        <f t="shared" si="41"/>
        <v>#REF!</v>
      </c>
      <c r="U82" s="77" t="e">
        <f t="shared" si="41"/>
        <v>#REF!</v>
      </c>
      <c r="V82" s="77" t="e">
        <f t="shared" si="41"/>
        <v>#REF!</v>
      </c>
      <c r="W82" s="77" t="e">
        <f t="shared" si="41"/>
        <v>#REF!</v>
      </c>
      <c r="X82" s="77" t="e">
        <f t="shared" si="41"/>
        <v>#REF!</v>
      </c>
      <c r="Y82" s="77" t="e">
        <f t="shared" si="41"/>
        <v>#REF!</v>
      </c>
      <c r="Z82" s="77" t="e">
        <f t="shared" si="41"/>
        <v>#REF!</v>
      </c>
      <c r="AA82" s="77" t="e">
        <f t="shared" si="41"/>
        <v>#REF!</v>
      </c>
      <c r="AB82" s="77" t="e">
        <f t="shared" si="41"/>
        <v>#REF!</v>
      </c>
      <c r="AC82" s="77" t="e">
        <f t="shared" si="41"/>
        <v>#REF!</v>
      </c>
      <c r="AD82" s="77" t="e">
        <f t="shared" si="41"/>
        <v>#REF!</v>
      </c>
      <c r="AE82" s="77" t="e">
        <f t="shared" si="41"/>
        <v>#REF!</v>
      </c>
      <c r="AF82" s="78" t="e">
        <f t="shared" si="41"/>
        <v>#REF!</v>
      </c>
      <c r="AG82" s="77" t="e">
        <f t="shared" si="41"/>
        <v>#REF!</v>
      </c>
      <c r="AH82" s="77" t="e">
        <f t="shared" si="41"/>
        <v>#REF!</v>
      </c>
      <c r="AI82" s="77" t="e">
        <f t="shared" si="41"/>
        <v>#REF!</v>
      </c>
      <c r="AJ82" s="77" t="e">
        <f t="shared" si="41"/>
        <v>#REF!</v>
      </c>
      <c r="AK82" s="77" t="e">
        <f t="shared" si="41"/>
        <v>#REF!</v>
      </c>
      <c r="AL82" s="77" t="e">
        <f t="shared" si="41"/>
        <v>#REF!</v>
      </c>
      <c r="AM82" s="77" t="e">
        <f t="shared" si="41"/>
        <v>#REF!</v>
      </c>
      <c r="AN82" s="77" t="e">
        <f t="shared" si="41"/>
        <v>#REF!</v>
      </c>
      <c r="AO82" s="77" t="e">
        <f t="shared" si="41"/>
        <v>#REF!</v>
      </c>
      <c r="AP82" s="77" t="e">
        <f t="shared" si="41"/>
        <v>#REF!</v>
      </c>
      <c r="AQ82" s="77" t="e">
        <f t="shared" si="41"/>
        <v>#REF!</v>
      </c>
      <c r="AR82" s="77" t="e">
        <f t="shared" si="41"/>
        <v>#REF!</v>
      </c>
      <c r="AS82" s="78" t="e">
        <f t="shared" si="41"/>
        <v>#REF!</v>
      </c>
      <c r="AT82" s="77" t="e">
        <f t="shared" si="41"/>
        <v>#REF!</v>
      </c>
      <c r="AU82" s="77" t="e">
        <f t="shared" si="41"/>
        <v>#REF!</v>
      </c>
      <c r="AV82" s="77" t="e">
        <f t="shared" si="41"/>
        <v>#REF!</v>
      </c>
      <c r="AW82" s="77" t="e">
        <f t="shared" si="41"/>
        <v>#REF!</v>
      </c>
      <c r="AX82" s="77" t="e">
        <f t="shared" si="41"/>
        <v>#REF!</v>
      </c>
      <c r="AY82" s="77" t="e">
        <f t="shared" si="41"/>
        <v>#REF!</v>
      </c>
      <c r="AZ82" s="77" t="e">
        <f t="shared" si="41"/>
        <v>#REF!</v>
      </c>
      <c r="BA82" s="77" t="e">
        <f t="shared" si="41"/>
        <v>#REF!</v>
      </c>
      <c r="BB82" s="77" t="e">
        <f t="shared" si="41"/>
        <v>#REF!</v>
      </c>
      <c r="BC82" s="77" t="e">
        <f t="shared" si="41"/>
        <v>#REF!</v>
      </c>
      <c r="BD82" s="77" t="e">
        <f t="shared" si="41"/>
        <v>#REF!</v>
      </c>
      <c r="BE82" s="77" t="e">
        <f t="shared" si="41"/>
        <v>#REF!</v>
      </c>
      <c r="BF82" s="78" t="e">
        <f t="shared" si="41"/>
        <v>#REF!</v>
      </c>
      <c r="BG82" s="77" t="e">
        <f t="shared" si="41"/>
        <v>#REF!</v>
      </c>
      <c r="BH82" s="77" t="e">
        <f t="shared" si="41"/>
        <v>#REF!</v>
      </c>
      <c r="BI82" s="77" t="e">
        <f t="shared" si="41"/>
        <v>#REF!</v>
      </c>
      <c r="BJ82" s="77" t="e">
        <f t="shared" si="41"/>
        <v>#REF!</v>
      </c>
      <c r="BK82" s="77" t="e">
        <f t="shared" si="41"/>
        <v>#REF!</v>
      </c>
      <c r="BL82" s="77" t="e">
        <f t="shared" si="41"/>
        <v>#REF!</v>
      </c>
      <c r="BM82" s="77" t="e">
        <f t="shared" si="41"/>
        <v>#REF!</v>
      </c>
      <c r="BN82" s="77" t="e">
        <f t="shared" si="41"/>
        <v>#REF!</v>
      </c>
      <c r="BO82" s="77" t="e">
        <f t="shared" si="41"/>
        <v>#REF!</v>
      </c>
      <c r="BP82" s="77" t="e">
        <f t="shared" si="41"/>
        <v>#REF!</v>
      </c>
      <c r="BQ82" s="77" t="e">
        <f t="shared" si="41"/>
        <v>#REF!</v>
      </c>
      <c r="BR82" s="77" t="e">
        <f t="shared" si="41"/>
        <v>#REF!</v>
      </c>
      <c r="BS82" s="78" t="e">
        <f t="shared" si="41"/>
        <v>#REF!</v>
      </c>
      <c r="BT82" s="78" t="e">
        <f t="shared" si="41"/>
        <v>#REF!</v>
      </c>
    </row>
    <row r="83" spans="1:72" ht="15.75" customHeight="1">
      <c r="A83" s="2"/>
      <c r="B83" s="2"/>
      <c r="C83" s="2"/>
      <c r="D83" s="2"/>
      <c r="E83" s="2"/>
      <c r="F83" s="2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8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8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8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8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8"/>
      <c r="BT83" s="1"/>
    </row>
    <row r="84" spans="1:72" ht="15.75" customHeight="1">
      <c r="A84" s="2"/>
      <c r="B84" s="2"/>
      <c r="C84" s="2"/>
      <c r="D84" s="2"/>
      <c r="E84" s="2"/>
      <c r="F84" s="2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8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8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8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8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8"/>
      <c r="BT84" s="1"/>
    </row>
    <row r="85" spans="1:72" ht="15.75" customHeight="1">
      <c r="A85" s="2"/>
      <c r="B85" s="1" t="s">
        <v>230</v>
      </c>
      <c r="C85" s="1"/>
      <c r="D85" s="1"/>
      <c r="E85" s="1"/>
      <c r="F85" s="2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8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8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8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8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8"/>
      <c r="BT85" s="1"/>
    </row>
    <row r="86" spans="1:72" ht="15.75" customHeight="1">
      <c r="A86" s="2"/>
      <c r="B86" s="1"/>
      <c r="C86" s="1" t="s">
        <v>231</v>
      </c>
      <c r="D86" s="1"/>
      <c r="E86" s="1"/>
      <c r="F86" s="2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8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8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8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8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8"/>
      <c r="BT86" s="1"/>
    </row>
    <row r="87" spans="1:72" ht="15.75" customHeight="1">
      <c r="A87" s="2"/>
      <c r="B87" s="2"/>
      <c r="C87" s="63"/>
      <c r="D87" s="2"/>
      <c r="E87" s="2"/>
      <c r="F87" s="2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8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8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8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8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8"/>
      <c r="BT87" s="1"/>
    </row>
    <row r="88" spans="1:72" ht="15.75" customHeight="1">
      <c r="A88" s="2"/>
      <c r="B88" s="2"/>
      <c r="C88" s="63"/>
      <c r="D88" s="2" t="s">
        <v>213</v>
      </c>
      <c r="E88" s="2"/>
      <c r="F88" s="2"/>
      <c r="G88" s="76">
        <f>G52</f>
        <v>6.75</v>
      </c>
      <c r="H88" s="77">
        <f t="shared" ref="H88:R88" si="42">G91</f>
        <v>28.618555803571425</v>
      </c>
      <c r="I88" s="77">
        <f t="shared" si="42"/>
        <v>22.73767897645449</v>
      </c>
      <c r="J88" s="77">
        <f t="shared" si="42"/>
        <v>14.440512681811631</v>
      </c>
      <c r="K88" s="77">
        <f t="shared" si="42"/>
        <v>4.6266600752448124</v>
      </c>
      <c r="L88" s="77">
        <f t="shared" si="42"/>
        <v>-6.4362283176123309</v>
      </c>
      <c r="M88" s="77">
        <f t="shared" si="42"/>
        <v>-16.250080924179152</v>
      </c>
      <c r="N88" s="77">
        <f t="shared" si="42"/>
        <v>-25.469154584893438</v>
      </c>
      <c r="O88" s="77">
        <f t="shared" si="42"/>
        <v>-36.992996660786289</v>
      </c>
      <c r="P88" s="77">
        <f t="shared" si="42"/>
        <v>-48.145101895521307</v>
      </c>
      <c r="Q88" s="77">
        <f t="shared" si="42"/>
        <v>-59.207990288378454</v>
      </c>
      <c r="R88" s="77">
        <f t="shared" si="42"/>
        <v>-67.237506057387677</v>
      </c>
      <c r="S88" s="78">
        <f>G88</f>
        <v>6.75</v>
      </c>
      <c r="T88" s="77">
        <f>R91</f>
        <v>-74.612764985959103</v>
      </c>
      <c r="U88" s="77" t="e">
        <f t="shared" ref="U88:AE88" si="43">T91</f>
        <v>#REF!</v>
      </c>
      <c r="V88" s="77" t="e">
        <f t="shared" si="43"/>
        <v>#REF!</v>
      </c>
      <c r="W88" s="77" t="e">
        <f t="shared" si="43"/>
        <v>#REF!</v>
      </c>
      <c r="X88" s="77" t="e">
        <f t="shared" si="43"/>
        <v>#REF!</v>
      </c>
      <c r="Y88" s="77" t="e">
        <f t="shared" si="43"/>
        <v>#REF!</v>
      </c>
      <c r="Z88" s="77" t="e">
        <f t="shared" si="43"/>
        <v>#REF!</v>
      </c>
      <c r="AA88" s="77" t="e">
        <f t="shared" si="43"/>
        <v>#REF!</v>
      </c>
      <c r="AB88" s="77" t="e">
        <f t="shared" si="43"/>
        <v>#REF!</v>
      </c>
      <c r="AC88" s="77" t="e">
        <f t="shared" si="43"/>
        <v>#REF!</v>
      </c>
      <c r="AD88" s="77" t="e">
        <f t="shared" si="43"/>
        <v>#REF!</v>
      </c>
      <c r="AE88" s="77" t="e">
        <f t="shared" si="43"/>
        <v>#REF!</v>
      </c>
      <c r="AF88" s="78">
        <f>T88</f>
        <v>-74.612764985959103</v>
      </c>
      <c r="AG88" s="77" t="e">
        <f>AE91</f>
        <v>#REF!</v>
      </c>
      <c r="AH88" s="77" t="e">
        <f t="shared" ref="AH88:AR88" si="44">AG91</f>
        <v>#REF!</v>
      </c>
      <c r="AI88" s="77" t="e">
        <f t="shared" si="44"/>
        <v>#REF!</v>
      </c>
      <c r="AJ88" s="77" t="e">
        <f t="shared" si="44"/>
        <v>#REF!</v>
      </c>
      <c r="AK88" s="77" t="e">
        <f t="shared" si="44"/>
        <v>#REF!</v>
      </c>
      <c r="AL88" s="77" t="e">
        <f t="shared" si="44"/>
        <v>#REF!</v>
      </c>
      <c r="AM88" s="77" t="e">
        <f t="shared" si="44"/>
        <v>#REF!</v>
      </c>
      <c r="AN88" s="77" t="e">
        <f t="shared" si="44"/>
        <v>#REF!</v>
      </c>
      <c r="AO88" s="77" t="e">
        <f t="shared" si="44"/>
        <v>#REF!</v>
      </c>
      <c r="AP88" s="77" t="e">
        <f t="shared" si="44"/>
        <v>#REF!</v>
      </c>
      <c r="AQ88" s="77" t="e">
        <f t="shared" si="44"/>
        <v>#REF!</v>
      </c>
      <c r="AR88" s="77" t="e">
        <f t="shared" si="44"/>
        <v>#REF!</v>
      </c>
      <c r="AS88" s="78" t="e">
        <f>AG88</f>
        <v>#REF!</v>
      </c>
      <c r="AT88" s="77" t="e">
        <f>AR91</f>
        <v>#REF!</v>
      </c>
      <c r="AU88" s="77" t="e">
        <f t="shared" ref="AU88:BE88" si="45">AT91</f>
        <v>#REF!</v>
      </c>
      <c r="AV88" s="77" t="e">
        <f t="shared" si="45"/>
        <v>#REF!</v>
      </c>
      <c r="AW88" s="77" t="e">
        <f t="shared" si="45"/>
        <v>#REF!</v>
      </c>
      <c r="AX88" s="77" t="e">
        <f t="shared" si="45"/>
        <v>#REF!</v>
      </c>
      <c r="AY88" s="77" t="e">
        <f t="shared" si="45"/>
        <v>#REF!</v>
      </c>
      <c r="AZ88" s="77" t="e">
        <f t="shared" si="45"/>
        <v>#REF!</v>
      </c>
      <c r="BA88" s="77" t="e">
        <f t="shared" si="45"/>
        <v>#REF!</v>
      </c>
      <c r="BB88" s="77" t="e">
        <f t="shared" si="45"/>
        <v>#REF!</v>
      </c>
      <c r="BC88" s="77" t="e">
        <f t="shared" si="45"/>
        <v>#REF!</v>
      </c>
      <c r="BD88" s="77" t="e">
        <f t="shared" si="45"/>
        <v>#REF!</v>
      </c>
      <c r="BE88" s="77" t="e">
        <f t="shared" si="45"/>
        <v>#REF!</v>
      </c>
      <c r="BF88" s="78" t="e">
        <f>AT88</f>
        <v>#REF!</v>
      </c>
      <c r="BG88" s="77" t="e">
        <f>BE91</f>
        <v>#REF!</v>
      </c>
      <c r="BH88" s="77" t="e">
        <f t="shared" ref="BH88:BR88" si="46">BG91</f>
        <v>#REF!</v>
      </c>
      <c r="BI88" s="77" t="e">
        <f t="shared" si="46"/>
        <v>#REF!</v>
      </c>
      <c r="BJ88" s="77" t="e">
        <f t="shared" si="46"/>
        <v>#REF!</v>
      </c>
      <c r="BK88" s="77" t="e">
        <f t="shared" si="46"/>
        <v>#REF!</v>
      </c>
      <c r="BL88" s="77" t="e">
        <f t="shared" si="46"/>
        <v>#REF!</v>
      </c>
      <c r="BM88" s="77" t="e">
        <f t="shared" si="46"/>
        <v>#REF!</v>
      </c>
      <c r="BN88" s="77" t="e">
        <f t="shared" si="46"/>
        <v>#REF!</v>
      </c>
      <c r="BO88" s="77" t="e">
        <f t="shared" si="46"/>
        <v>#REF!</v>
      </c>
      <c r="BP88" s="77" t="e">
        <f t="shared" si="46"/>
        <v>#REF!</v>
      </c>
      <c r="BQ88" s="77" t="e">
        <f t="shared" si="46"/>
        <v>#REF!</v>
      </c>
      <c r="BR88" s="77" t="e">
        <f t="shared" si="46"/>
        <v>#REF!</v>
      </c>
      <c r="BS88" s="78" t="e">
        <f>BG88</f>
        <v>#REF!</v>
      </c>
      <c r="BT88" s="78">
        <f>G88</f>
        <v>6.75</v>
      </c>
    </row>
    <row r="89" spans="1:72" ht="15.75" customHeight="1">
      <c r="A89" s="2"/>
      <c r="B89" s="2"/>
      <c r="C89" s="63"/>
      <c r="D89" s="2" t="s">
        <v>232</v>
      </c>
      <c r="E89" s="2"/>
      <c r="F89" s="2"/>
      <c r="G89" s="77">
        <f t="shared" ref="G89:R89" si="47">(G$73/6)+(G$80/2)</f>
        <v>27.4</v>
      </c>
      <c r="H89" s="77">
        <f t="shared" si="47"/>
        <v>0</v>
      </c>
      <c r="I89" s="77">
        <f t="shared" si="47"/>
        <v>0</v>
      </c>
      <c r="J89" s="77">
        <f t="shared" si="47"/>
        <v>0</v>
      </c>
      <c r="K89" s="77">
        <f t="shared" si="47"/>
        <v>0</v>
      </c>
      <c r="L89" s="77">
        <f t="shared" si="47"/>
        <v>0</v>
      </c>
      <c r="M89" s="77">
        <f t="shared" si="47"/>
        <v>0</v>
      </c>
      <c r="N89" s="77">
        <f t="shared" si="47"/>
        <v>0</v>
      </c>
      <c r="O89" s="77">
        <f t="shared" si="47"/>
        <v>0</v>
      </c>
      <c r="P89" s="77">
        <f t="shared" si="47"/>
        <v>0</v>
      </c>
      <c r="Q89" s="77">
        <f t="shared" si="47"/>
        <v>0</v>
      </c>
      <c r="R89" s="77">
        <f t="shared" si="47"/>
        <v>0</v>
      </c>
      <c r="S89" s="78">
        <f>SUM(G89:R89)</f>
        <v>27.4</v>
      </c>
      <c r="T89" s="77">
        <f t="shared" ref="T89:AE89" si="48">(T$73/6)+(T$80/2)</f>
        <v>0</v>
      </c>
      <c r="U89" s="77">
        <f t="shared" si="48"/>
        <v>0</v>
      </c>
      <c r="V89" s="77">
        <f t="shared" si="48"/>
        <v>0</v>
      </c>
      <c r="W89" s="77">
        <f t="shared" si="48"/>
        <v>0</v>
      </c>
      <c r="X89" s="77">
        <f t="shared" si="48"/>
        <v>0</v>
      </c>
      <c r="Y89" s="77">
        <f t="shared" si="48"/>
        <v>0</v>
      </c>
      <c r="Z89" s="77">
        <f t="shared" si="48"/>
        <v>0</v>
      </c>
      <c r="AA89" s="77">
        <f t="shared" si="48"/>
        <v>0</v>
      </c>
      <c r="AB89" s="77">
        <f t="shared" si="48"/>
        <v>0</v>
      </c>
      <c r="AC89" s="77">
        <f t="shared" si="48"/>
        <v>0</v>
      </c>
      <c r="AD89" s="77">
        <f t="shared" si="48"/>
        <v>0</v>
      </c>
      <c r="AE89" s="77">
        <f t="shared" si="48"/>
        <v>0</v>
      </c>
      <c r="AF89" s="78">
        <f>SUM(T89:AE89)</f>
        <v>0</v>
      </c>
      <c r="AG89" s="77">
        <f t="shared" ref="AG89:AR89" si="49">(AG$73/6)+(AG$80/2)</f>
        <v>0</v>
      </c>
      <c r="AH89" s="77">
        <f t="shared" si="49"/>
        <v>0</v>
      </c>
      <c r="AI89" s="77">
        <f t="shared" si="49"/>
        <v>0</v>
      </c>
      <c r="AJ89" s="77">
        <f t="shared" si="49"/>
        <v>0</v>
      </c>
      <c r="AK89" s="77">
        <f t="shared" si="49"/>
        <v>0</v>
      </c>
      <c r="AL89" s="77">
        <f t="shared" si="49"/>
        <v>0</v>
      </c>
      <c r="AM89" s="77">
        <f t="shared" si="49"/>
        <v>0</v>
      </c>
      <c r="AN89" s="77">
        <f t="shared" si="49"/>
        <v>0</v>
      </c>
      <c r="AO89" s="77">
        <f t="shared" si="49"/>
        <v>0</v>
      </c>
      <c r="AP89" s="77">
        <f t="shared" si="49"/>
        <v>0</v>
      </c>
      <c r="AQ89" s="77">
        <f t="shared" si="49"/>
        <v>0</v>
      </c>
      <c r="AR89" s="77">
        <f t="shared" si="49"/>
        <v>0</v>
      </c>
      <c r="AS89" s="78">
        <f>SUM(AG89:AR89)</f>
        <v>0</v>
      </c>
      <c r="AT89" s="77">
        <f t="shared" ref="AT89:BE89" si="50">(AT$73/6)+(AT$80/2)</f>
        <v>0</v>
      </c>
      <c r="AU89" s="77">
        <f t="shared" si="50"/>
        <v>0</v>
      </c>
      <c r="AV89" s="77">
        <f t="shared" si="50"/>
        <v>0</v>
      </c>
      <c r="AW89" s="77">
        <f t="shared" si="50"/>
        <v>0</v>
      </c>
      <c r="AX89" s="77">
        <f t="shared" si="50"/>
        <v>0</v>
      </c>
      <c r="AY89" s="77">
        <f t="shared" si="50"/>
        <v>0</v>
      </c>
      <c r="AZ89" s="77">
        <f t="shared" si="50"/>
        <v>0</v>
      </c>
      <c r="BA89" s="77">
        <f t="shared" si="50"/>
        <v>0</v>
      </c>
      <c r="BB89" s="77">
        <f t="shared" si="50"/>
        <v>0</v>
      </c>
      <c r="BC89" s="77">
        <f t="shared" si="50"/>
        <v>0</v>
      </c>
      <c r="BD89" s="77">
        <f t="shared" si="50"/>
        <v>0</v>
      </c>
      <c r="BE89" s="77">
        <f t="shared" si="50"/>
        <v>0</v>
      </c>
      <c r="BF89" s="78">
        <f>SUM(AT89:BE89)</f>
        <v>0</v>
      </c>
      <c r="BG89" s="77">
        <f t="shared" ref="BG89:BR89" si="51">(BG$73/6)+(BG$80/2)</f>
        <v>0</v>
      </c>
      <c r="BH89" s="77">
        <f t="shared" si="51"/>
        <v>0</v>
      </c>
      <c r="BI89" s="77">
        <f t="shared" si="51"/>
        <v>0</v>
      </c>
      <c r="BJ89" s="77">
        <f t="shared" si="51"/>
        <v>0</v>
      </c>
      <c r="BK89" s="77">
        <f t="shared" si="51"/>
        <v>0</v>
      </c>
      <c r="BL89" s="77">
        <f t="shared" si="51"/>
        <v>0</v>
      </c>
      <c r="BM89" s="77">
        <f t="shared" si="51"/>
        <v>0</v>
      </c>
      <c r="BN89" s="77">
        <f t="shared" si="51"/>
        <v>0</v>
      </c>
      <c r="BO89" s="77">
        <f t="shared" si="51"/>
        <v>0</v>
      </c>
      <c r="BP89" s="77">
        <f t="shared" si="51"/>
        <v>0</v>
      </c>
      <c r="BQ89" s="77">
        <f t="shared" si="51"/>
        <v>0</v>
      </c>
      <c r="BR89" s="77">
        <f t="shared" si="51"/>
        <v>0</v>
      </c>
      <c r="BS89" s="78">
        <f>SUM(BG89:BR89)</f>
        <v>0</v>
      </c>
      <c r="BT89" s="37">
        <f>S89+AF89+AS89+BF89+BS89</f>
        <v>27.4</v>
      </c>
    </row>
    <row r="90" spans="1:72" ht="15.75" customHeight="1">
      <c r="A90" s="2"/>
      <c r="B90" s="2"/>
      <c r="C90" s="63"/>
      <c r="D90" s="2" t="s">
        <v>233</v>
      </c>
      <c r="E90" s="2"/>
      <c r="F90" s="2"/>
      <c r="G90" s="77">
        <f>((SUM('Beer Revenue'!L15:L18)*4)+(SUM('Beer Revenue'!L19:L22)*10)+(SUM('Beer Revenue'!L23:L24)*12)+(SUM('Beer Revenue'!L31:L33)*14)+(SUM('Beer Revenue'!L34:L35)*16))/3968</f>
        <v>5.5314441964285717</v>
      </c>
      <c r="H90" s="77">
        <f>((SUM('Beer Revenue'!M15:M18)*4)+(SUM('Beer Revenue'!M19:M22)*10)+(SUM('Beer Revenue'!M23:M24)*12)+(SUM('Beer Revenue'!M31:M33)*14)+(SUM('Beer Revenue'!M34:M35)*16))/3968</f>
        <v>5.8808768271169347</v>
      </c>
      <c r="I90" s="77">
        <f>((SUM('Beer Revenue'!N15:N18)*4)+(SUM('Beer Revenue'!N19:N22)*10)+(SUM('Beer Revenue'!N23:N24)*12)+(SUM('Beer Revenue'!N31:N33)*14)+(SUM('Beer Revenue'!N34:N35)*16))/3968</f>
        <v>8.2971662946428584</v>
      </c>
      <c r="J90" s="77">
        <f>((SUM('Beer Revenue'!O15:O18)*4)+(SUM('Beer Revenue'!O19:O22)*10)+(SUM('Beer Revenue'!O23:O24)*12)+(SUM('Beer Revenue'!O31:O33)*14)+(SUM('Beer Revenue'!O34:O35)*16))/3968</f>
        <v>9.8138526065668188</v>
      </c>
      <c r="K90" s="77">
        <f>((SUM('Beer Revenue'!P15:P18)*4)+(SUM('Beer Revenue'!P19:P22)*10)+(SUM('Beer Revenue'!P23:P24)*12)+(SUM('Beer Revenue'!P31:P33)*14)+(SUM('Beer Revenue'!P34:P35)*16))/3968</f>
        <v>11.062888392857143</v>
      </c>
      <c r="L90" s="77">
        <f>((SUM('Beer Revenue'!Q15:Q18)*4)+(SUM('Beer Revenue'!Q19:Q22)*10)+(SUM('Beer Revenue'!Q23:Q24)*12)+(SUM('Beer Revenue'!Q31:Q33)*14)+(SUM('Beer Revenue'!Q34:Q35)*16))/3968</f>
        <v>9.8138526065668188</v>
      </c>
      <c r="M90" s="77">
        <f>((SUM('Beer Revenue'!R15:R18)*4)+(SUM('Beer Revenue'!R19:R22)*10)+(SUM('Beer Revenue'!R23:R24)*12)+(SUM('Beer Revenue'!R31:R33)*14)+(SUM('Beer Revenue'!R34:R35)*16))/3968</f>
        <v>9.2190736607142849</v>
      </c>
      <c r="N90" s="77">
        <f>((SUM('Beer Revenue'!S15:S18)*4)+(SUM('Beer Revenue'!S19:S22)*10)+(SUM('Beer Revenue'!S23:S24)*12)+(SUM('Beer Revenue'!S31:S33)*14)+(SUM('Beer Revenue'!S34:S35)*16))/3968</f>
        <v>11.523842075892855</v>
      </c>
      <c r="O90" s="77">
        <f>((SUM('Beer Revenue'!T15:T18)*4)+(SUM('Beer Revenue'!T19:T22)*10)+(SUM('Beer Revenue'!T23:T24)*12)+(SUM('Beer Revenue'!T31:T33)*14)+(SUM('Beer Revenue'!T34:T35)*16))/3968</f>
        <v>11.152105234735021</v>
      </c>
      <c r="P90" s="77">
        <f>((SUM('Beer Revenue'!U15:U18)*4)+(SUM('Beer Revenue'!U19:U22)*10)+(SUM('Beer Revenue'!U23:U24)*12)+(SUM('Beer Revenue'!U31:U33)*14)+(SUM('Beer Revenue'!U34:U35)*16))/3968</f>
        <v>11.062888392857143</v>
      </c>
      <c r="Q90" s="77">
        <f>((SUM('Beer Revenue'!V15:V18)*4)+(SUM('Beer Revenue'!V19:V22)*10)+(SUM('Beer Revenue'!V23:V24)*12)+(SUM('Beer Revenue'!V31:V33)*14)+(SUM('Beer Revenue'!V34:V35)*16))/3968</f>
        <v>8.0295157690092172</v>
      </c>
      <c r="R90" s="77">
        <f>((SUM('Beer Revenue'!W15:W18)*4)+(SUM('Beer Revenue'!W19:W22)*10)+(SUM('Beer Revenue'!W23:W24)*12)+(SUM('Beer Revenue'!W31:W33)*14)+(SUM('Beer Revenue'!W34:W35)*16))/3968</f>
        <v>7.3752589285714292</v>
      </c>
      <c r="S90" s="78">
        <f>SUM(G90:R90)</f>
        <v>108.76276498595909</v>
      </c>
      <c r="T90" s="77" t="e">
        <f>('Beer Revenue'!Y$15/Lists!$D$2)+('Beer Revenue'!Y$17/Lists!$D$3)+'Beer Revenue'!Y$24/Lists!$D$4+('Beer Revenue'!Y$40/Lists!$D$5)+('Beer Revenue'!#REF!/Lists!$D$6)+('Beer Revenue'!#REF!/6)+('Beer Revenue'!#REF!/2)</f>
        <v>#REF!</v>
      </c>
      <c r="U90" s="77" t="e">
        <f>('Beer Revenue'!Z$15/Lists!$D$2)+('Beer Revenue'!Z$17/Lists!$D$3)+'Beer Revenue'!Z$24/Lists!$D$4+('Beer Revenue'!Z$40/Lists!$D$5)+('Beer Revenue'!#REF!/Lists!$D$6)+('Beer Revenue'!#REF!/6)+('Beer Revenue'!#REF!/2)</f>
        <v>#REF!</v>
      </c>
      <c r="V90" s="77" t="e">
        <f>('Beer Revenue'!AA$15/Lists!$D$2)+('Beer Revenue'!AA$17/Lists!$D$3)+'Beer Revenue'!AA$24/Lists!$D$4+('Beer Revenue'!AA$40/Lists!$D$5)+('Beer Revenue'!#REF!/Lists!$D$6)+('Beer Revenue'!#REF!/6)+('Beer Revenue'!#REF!/2)</f>
        <v>#REF!</v>
      </c>
      <c r="W90" s="77" t="e">
        <f>('Beer Revenue'!AB$15/Lists!$D$2)+('Beer Revenue'!AB$17/Lists!$D$3)+'Beer Revenue'!AB$24/Lists!$D$4+('Beer Revenue'!AB$40/Lists!$D$5)+('Beer Revenue'!#REF!/Lists!$D$6)+('Beer Revenue'!#REF!/6)+('Beer Revenue'!#REF!/2)</f>
        <v>#REF!</v>
      </c>
      <c r="X90" s="77" t="e">
        <f>('Beer Revenue'!AC$15/Lists!$D$2)+('Beer Revenue'!AC$17/Lists!$D$3)+'Beer Revenue'!AC$24/Lists!$D$4+('Beer Revenue'!AC$40/Lists!$D$5)+('Beer Revenue'!#REF!/Lists!$D$6)+('Beer Revenue'!#REF!/6)+('Beer Revenue'!#REF!/2)</f>
        <v>#REF!</v>
      </c>
      <c r="Y90" s="77" t="e">
        <f>('Beer Revenue'!AD$15/Lists!$D$2)+('Beer Revenue'!AD$17/Lists!$D$3)+'Beer Revenue'!AD$24/Lists!$D$4+('Beer Revenue'!AD$40/Lists!$D$5)+('Beer Revenue'!#REF!/Lists!$D$6)+('Beer Revenue'!#REF!/6)+('Beer Revenue'!#REF!/2)</f>
        <v>#REF!</v>
      </c>
      <c r="Z90" s="77" t="e">
        <f>('Beer Revenue'!AE$15/Lists!$D$2)+('Beer Revenue'!AE$17/Lists!$D$3)+'Beer Revenue'!AE$24/Lists!$D$4+('Beer Revenue'!AE$40/Lists!$D$5)+('Beer Revenue'!#REF!/Lists!$D$6)+('Beer Revenue'!#REF!/6)+('Beer Revenue'!#REF!/2)</f>
        <v>#REF!</v>
      </c>
      <c r="AA90" s="77" t="e">
        <f>('Beer Revenue'!AF$15/Lists!$D$2)+('Beer Revenue'!AF$17/Lists!$D$3)+'Beer Revenue'!AF$24/Lists!$D$4+('Beer Revenue'!AF$40/Lists!$D$5)+('Beer Revenue'!#REF!/Lists!$D$6)+('Beer Revenue'!#REF!/6)+('Beer Revenue'!#REF!/2)</f>
        <v>#REF!</v>
      </c>
      <c r="AB90" s="77" t="e">
        <f>('Beer Revenue'!AG$15/Lists!$D$2)+('Beer Revenue'!AG$17/Lists!$D$3)+'Beer Revenue'!AG$24/Lists!$D$4+('Beer Revenue'!AG$40/Lists!$D$5)+('Beer Revenue'!#REF!/Lists!$D$6)+('Beer Revenue'!#REF!/6)+('Beer Revenue'!#REF!/2)</f>
        <v>#REF!</v>
      </c>
      <c r="AC90" s="77" t="e">
        <f>('Beer Revenue'!AH$15/Lists!$D$2)+('Beer Revenue'!AH$17/Lists!$D$3)+'Beer Revenue'!AH$24/Lists!$D$4+('Beer Revenue'!AH$40/Lists!$D$5)+('Beer Revenue'!#REF!/Lists!$D$6)+('Beer Revenue'!#REF!/6)+('Beer Revenue'!#REF!/2)</f>
        <v>#REF!</v>
      </c>
      <c r="AD90" s="77" t="e">
        <f>('Beer Revenue'!AI$15/Lists!$D$2)+('Beer Revenue'!AI$17/Lists!$D$3)+'Beer Revenue'!AI$24/Lists!$D$4+('Beer Revenue'!AI$40/Lists!$D$5)+('Beer Revenue'!#REF!/Lists!$D$6)+('Beer Revenue'!#REF!/6)+('Beer Revenue'!#REF!/2)</f>
        <v>#REF!</v>
      </c>
      <c r="AE90" s="77" t="e">
        <f>('Beer Revenue'!AJ$15/Lists!$D$2)+('Beer Revenue'!AJ$17/Lists!$D$3)+'Beer Revenue'!AJ$24/Lists!$D$4+('Beer Revenue'!AJ$40/Lists!$D$5)+('Beer Revenue'!#REF!/Lists!$D$6)+('Beer Revenue'!#REF!/6)+('Beer Revenue'!#REF!/2)</f>
        <v>#REF!</v>
      </c>
      <c r="AF90" s="78" t="e">
        <f>SUM(T90:AE90)</f>
        <v>#REF!</v>
      </c>
      <c r="AG90" s="77" t="e">
        <f>('Beer Revenue'!AL$15/Lists!$D$2)+('Beer Revenue'!AL$17/Lists!$D$3)+'Beer Revenue'!AL$24/Lists!$D$4+('Beer Revenue'!AL$40/Lists!$D$5)+('Beer Revenue'!#REF!/Lists!$D$6)+('Beer Revenue'!#REF!/6)+('Beer Revenue'!#REF!/2)</f>
        <v>#REF!</v>
      </c>
      <c r="AH90" s="77" t="e">
        <f>('Beer Revenue'!AM$15/Lists!$D$2)+('Beer Revenue'!AM$17/Lists!$D$3)+'Beer Revenue'!AM$24/Lists!$D$4+('Beer Revenue'!AM$40/Lists!$D$5)+('Beer Revenue'!#REF!/Lists!$D$6)+('Beer Revenue'!#REF!/6)+('Beer Revenue'!#REF!/2)</f>
        <v>#REF!</v>
      </c>
      <c r="AI90" s="77" t="e">
        <f>('Beer Revenue'!AN$15/Lists!$D$2)+('Beer Revenue'!AN$17/Lists!$D$3)+'Beer Revenue'!AN$24/Lists!$D$4+('Beer Revenue'!AN$40/Lists!$D$5)+('Beer Revenue'!#REF!/Lists!$D$6)+('Beer Revenue'!#REF!/6)+('Beer Revenue'!#REF!/2)</f>
        <v>#REF!</v>
      </c>
      <c r="AJ90" s="77" t="e">
        <f>('Beer Revenue'!AO$15/Lists!$D$2)+('Beer Revenue'!AO$17/Lists!$D$3)+'Beer Revenue'!AO$24/Lists!$D$4+('Beer Revenue'!AO$40/Lists!$D$5)+('Beer Revenue'!#REF!/Lists!$D$6)+('Beer Revenue'!#REF!/6)+('Beer Revenue'!#REF!/2)</f>
        <v>#REF!</v>
      </c>
      <c r="AK90" s="77" t="e">
        <f>('Beer Revenue'!AP$15/Lists!$D$2)+('Beer Revenue'!AP$17/Lists!$D$3)+'Beer Revenue'!AP$24/Lists!$D$4+('Beer Revenue'!AP$40/Lists!$D$5)+('Beer Revenue'!#REF!/Lists!$D$6)+('Beer Revenue'!#REF!/6)+('Beer Revenue'!#REF!/2)</f>
        <v>#REF!</v>
      </c>
      <c r="AL90" s="77" t="e">
        <f>('Beer Revenue'!AQ$15/Lists!$D$2)+('Beer Revenue'!AQ$17/Lists!$D$3)+'Beer Revenue'!AQ$24/Lists!$D$4+('Beer Revenue'!AQ$40/Lists!$D$5)+('Beer Revenue'!#REF!/Lists!$D$6)+('Beer Revenue'!#REF!/6)+('Beer Revenue'!#REF!/2)</f>
        <v>#REF!</v>
      </c>
      <c r="AM90" s="77" t="e">
        <f>('Beer Revenue'!AR$15/Lists!$D$2)+('Beer Revenue'!AR$17/Lists!$D$3)+'Beer Revenue'!AR$24/Lists!$D$4+('Beer Revenue'!AR$40/Lists!$D$5)+('Beer Revenue'!#REF!/Lists!$D$6)+('Beer Revenue'!#REF!/6)+('Beer Revenue'!#REF!/2)</f>
        <v>#REF!</v>
      </c>
      <c r="AN90" s="77" t="e">
        <f>('Beer Revenue'!AS$15/Lists!$D$2)+('Beer Revenue'!AS$17/Lists!$D$3)+'Beer Revenue'!AS$24/Lists!$D$4+('Beer Revenue'!AS$40/Lists!$D$5)+('Beer Revenue'!#REF!/Lists!$D$6)+('Beer Revenue'!#REF!/6)+('Beer Revenue'!#REF!/2)</f>
        <v>#REF!</v>
      </c>
      <c r="AO90" s="77" t="e">
        <f>('Beer Revenue'!AT$15/Lists!$D$2)+('Beer Revenue'!AT$17/Lists!$D$3)+'Beer Revenue'!AT$24/Lists!$D$4+('Beer Revenue'!AT$40/Lists!$D$5)+('Beer Revenue'!#REF!/Lists!$D$6)+('Beer Revenue'!#REF!/6)+('Beer Revenue'!#REF!/2)</f>
        <v>#REF!</v>
      </c>
      <c r="AP90" s="77" t="e">
        <f>('Beer Revenue'!AU$15/Lists!$D$2)+('Beer Revenue'!AU$17/Lists!$D$3)+'Beer Revenue'!AU$24/Lists!$D$4+('Beer Revenue'!AU$40/Lists!$D$5)+('Beer Revenue'!#REF!/Lists!$D$6)+('Beer Revenue'!#REF!/6)+('Beer Revenue'!#REF!/2)</f>
        <v>#REF!</v>
      </c>
      <c r="AQ90" s="77" t="e">
        <f>('Beer Revenue'!AV$15/Lists!$D$2)+('Beer Revenue'!AV$17/Lists!$D$3)+'Beer Revenue'!AV$24/Lists!$D$4+('Beer Revenue'!AV$40/Lists!$D$5)+('Beer Revenue'!#REF!/Lists!$D$6)+('Beer Revenue'!#REF!/6)+('Beer Revenue'!#REF!/2)</f>
        <v>#REF!</v>
      </c>
      <c r="AR90" s="77" t="e">
        <f>('Beer Revenue'!AW$15/Lists!$D$2)+('Beer Revenue'!AW$17/Lists!$D$3)+'Beer Revenue'!AW$24/Lists!$D$4+('Beer Revenue'!AW$40/Lists!$D$5)+('Beer Revenue'!#REF!/Lists!$D$6)+('Beer Revenue'!#REF!/6)+('Beer Revenue'!#REF!/2)</f>
        <v>#REF!</v>
      </c>
      <c r="AS90" s="78" t="e">
        <f>SUM(AG90:AR90)</f>
        <v>#REF!</v>
      </c>
      <c r="AT90" s="77" t="e">
        <f>('Beer Revenue'!AY$15/Lists!$D$2)+('Beer Revenue'!AY$17/Lists!$D$3)+'Beer Revenue'!AY$24/Lists!$D$4+('Beer Revenue'!AY$40/Lists!$D$5)+('Beer Revenue'!#REF!/Lists!$D$6)+('Beer Revenue'!#REF!/6)+('Beer Revenue'!#REF!/2)</f>
        <v>#REF!</v>
      </c>
      <c r="AU90" s="77" t="e">
        <f>('Beer Revenue'!AZ$15/Lists!$D$2)+('Beer Revenue'!AZ$17/Lists!$D$3)+'Beer Revenue'!AZ$24/Lists!$D$4+('Beer Revenue'!AZ$40/Lists!$D$5)+('Beer Revenue'!#REF!/Lists!$D$6)+('Beer Revenue'!#REF!/6)+('Beer Revenue'!#REF!/2)</f>
        <v>#REF!</v>
      </c>
      <c r="AV90" s="77" t="e">
        <f>('Beer Revenue'!BA$15/Lists!$D$2)+('Beer Revenue'!BA$17/Lists!$D$3)+'Beer Revenue'!BA$24/Lists!$D$4+('Beer Revenue'!BA$40/Lists!$D$5)+('Beer Revenue'!#REF!/Lists!$D$6)+('Beer Revenue'!#REF!/6)+('Beer Revenue'!#REF!/2)</f>
        <v>#REF!</v>
      </c>
      <c r="AW90" s="77" t="e">
        <f>('Beer Revenue'!BB$15/Lists!$D$2)+('Beer Revenue'!BB$17/Lists!$D$3)+'Beer Revenue'!BB$24/Lists!$D$4+('Beer Revenue'!BB$40/Lists!$D$5)+('Beer Revenue'!#REF!/Lists!$D$6)+('Beer Revenue'!#REF!/6)+('Beer Revenue'!#REF!/2)</f>
        <v>#REF!</v>
      </c>
      <c r="AX90" s="77" t="e">
        <f>('Beer Revenue'!BC$15/Lists!$D$2)+('Beer Revenue'!BC$17/Lists!$D$3)+'Beer Revenue'!BC$24/Lists!$D$4+('Beer Revenue'!BC$40/Lists!$D$5)+('Beer Revenue'!#REF!/Lists!$D$6)+('Beer Revenue'!#REF!/6)+('Beer Revenue'!#REF!/2)</f>
        <v>#REF!</v>
      </c>
      <c r="AY90" s="77" t="e">
        <f>('Beer Revenue'!BD$15/Lists!$D$2)+('Beer Revenue'!BD$17/Lists!$D$3)+'Beer Revenue'!BD$24/Lists!$D$4+('Beer Revenue'!BD$40/Lists!$D$5)+('Beer Revenue'!#REF!/Lists!$D$6)+('Beer Revenue'!#REF!/6)+('Beer Revenue'!#REF!/2)</f>
        <v>#REF!</v>
      </c>
      <c r="AZ90" s="77" t="e">
        <f>('Beer Revenue'!BE$15/Lists!$D$2)+('Beer Revenue'!BE$17/Lists!$D$3)+'Beer Revenue'!BE$24/Lists!$D$4+('Beer Revenue'!BE$40/Lists!$D$5)+('Beer Revenue'!#REF!/Lists!$D$6)+('Beer Revenue'!#REF!/6)+('Beer Revenue'!#REF!/2)</f>
        <v>#REF!</v>
      </c>
      <c r="BA90" s="77" t="e">
        <f>('Beer Revenue'!BF$15/Lists!$D$2)+('Beer Revenue'!BF$17/Lists!$D$3)+'Beer Revenue'!BF$24/Lists!$D$4+('Beer Revenue'!BF$40/Lists!$D$5)+('Beer Revenue'!#REF!/Lists!$D$6)+('Beer Revenue'!#REF!/6)+('Beer Revenue'!#REF!/2)</f>
        <v>#REF!</v>
      </c>
      <c r="BB90" s="77" t="e">
        <f>('Beer Revenue'!BG$15/Lists!$D$2)+('Beer Revenue'!BG$17/Lists!$D$3)+'Beer Revenue'!BG$24/Lists!$D$4+('Beer Revenue'!BG$40/Lists!$D$5)+('Beer Revenue'!#REF!/Lists!$D$6)+('Beer Revenue'!#REF!/6)+('Beer Revenue'!#REF!/2)</f>
        <v>#REF!</v>
      </c>
      <c r="BC90" s="77" t="e">
        <f>('Beer Revenue'!BH$15/Lists!$D$2)+('Beer Revenue'!BH$17/Lists!$D$3)+'Beer Revenue'!BH$24/Lists!$D$4+('Beer Revenue'!BH$40/Lists!$D$5)+('Beer Revenue'!#REF!/Lists!$D$6)+('Beer Revenue'!#REF!/6)+('Beer Revenue'!#REF!/2)</f>
        <v>#REF!</v>
      </c>
      <c r="BD90" s="77" t="e">
        <f>('Beer Revenue'!BI$15/Lists!$D$2)+('Beer Revenue'!BI$17/Lists!$D$3)+'Beer Revenue'!BI$24/Lists!$D$4+('Beer Revenue'!BI$40/Lists!$D$5)+('Beer Revenue'!#REF!/Lists!$D$6)+('Beer Revenue'!#REF!/6)+('Beer Revenue'!#REF!/2)</f>
        <v>#REF!</v>
      </c>
      <c r="BE90" s="77" t="e">
        <f>('Beer Revenue'!BJ$15/Lists!$D$2)+('Beer Revenue'!BJ$17/Lists!$D$3)+'Beer Revenue'!BJ$24/Lists!$D$4+('Beer Revenue'!BJ$40/Lists!$D$5)+('Beer Revenue'!#REF!/Lists!$D$6)+('Beer Revenue'!#REF!/6)+('Beer Revenue'!#REF!/2)</f>
        <v>#REF!</v>
      </c>
      <c r="BF90" s="78" t="e">
        <f>SUM(AT90:BE90)</f>
        <v>#REF!</v>
      </c>
      <c r="BG90" s="77" t="e">
        <f>('Beer Revenue'!BL$15/Lists!$D$2)+('Beer Revenue'!BL$17/Lists!$D$3)+'Beer Revenue'!BL$24/Lists!$D$4+('Beer Revenue'!BL$40/Lists!$D$5)+('Beer Revenue'!#REF!/Lists!$D$6)+('Beer Revenue'!#REF!/6)+('Beer Revenue'!#REF!/2)</f>
        <v>#REF!</v>
      </c>
      <c r="BH90" s="77" t="e">
        <f>('Beer Revenue'!BM$15/Lists!$D$2)+('Beer Revenue'!BM$17/Lists!$D$3)+'Beer Revenue'!BM$24/Lists!$D$4+('Beer Revenue'!BM$40/Lists!$D$5)+('Beer Revenue'!#REF!/Lists!$D$6)+('Beer Revenue'!#REF!/6)+('Beer Revenue'!#REF!/2)</f>
        <v>#REF!</v>
      </c>
      <c r="BI90" s="77" t="e">
        <f>('Beer Revenue'!BN$15/Lists!$D$2)+('Beer Revenue'!BN$17/Lists!$D$3)+'Beer Revenue'!BN$24/Lists!$D$4+('Beer Revenue'!BN$40/Lists!$D$5)+('Beer Revenue'!#REF!/Lists!$D$6)+('Beer Revenue'!#REF!/6)+('Beer Revenue'!#REF!/2)</f>
        <v>#REF!</v>
      </c>
      <c r="BJ90" s="77" t="e">
        <f>('Beer Revenue'!BO$15/Lists!$D$2)+('Beer Revenue'!BO$17/Lists!$D$3)+'Beer Revenue'!BO$24/Lists!$D$4+('Beer Revenue'!BO$40/Lists!$D$5)+('Beer Revenue'!#REF!/Lists!$D$6)+('Beer Revenue'!#REF!/6)+('Beer Revenue'!#REF!/2)</f>
        <v>#REF!</v>
      </c>
      <c r="BK90" s="77" t="e">
        <f>('Beer Revenue'!BP$15/Lists!$D$2)+('Beer Revenue'!BP$17/Lists!$D$3)+'Beer Revenue'!BP$24/Lists!$D$4+('Beer Revenue'!BP$40/Lists!$D$5)+('Beer Revenue'!#REF!/Lists!$D$6)+('Beer Revenue'!#REF!/6)+('Beer Revenue'!#REF!/2)</f>
        <v>#REF!</v>
      </c>
      <c r="BL90" s="77" t="e">
        <f>('Beer Revenue'!BQ$15/Lists!$D$2)+('Beer Revenue'!BQ$17/Lists!$D$3)+'Beer Revenue'!BQ$24/Lists!$D$4+('Beer Revenue'!BQ$40/Lists!$D$5)+('Beer Revenue'!#REF!/Lists!$D$6)+('Beer Revenue'!#REF!/6)+('Beer Revenue'!#REF!/2)</f>
        <v>#REF!</v>
      </c>
      <c r="BM90" s="77" t="e">
        <f>('Beer Revenue'!BR$15/Lists!$D$2)+('Beer Revenue'!BR$17/Lists!$D$3)+'Beer Revenue'!BR$24/Lists!$D$4+('Beer Revenue'!BR$40/Lists!$D$5)+('Beer Revenue'!#REF!/Lists!$D$6)+('Beer Revenue'!#REF!/6)+('Beer Revenue'!#REF!/2)</f>
        <v>#REF!</v>
      </c>
      <c r="BN90" s="77" t="e">
        <f>('Beer Revenue'!BS$15/Lists!$D$2)+('Beer Revenue'!BS$17/Lists!$D$3)+'Beer Revenue'!BS$24/Lists!$D$4+('Beer Revenue'!BS$40/Lists!$D$5)+('Beer Revenue'!#REF!/Lists!$D$6)+('Beer Revenue'!#REF!/6)+('Beer Revenue'!#REF!/2)</f>
        <v>#REF!</v>
      </c>
      <c r="BO90" s="77" t="e">
        <f>('Beer Revenue'!BT$15/Lists!$D$2)+('Beer Revenue'!BT$17/Lists!$D$3)+'Beer Revenue'!BT$24/Lists!$D$4+('Beer Revenue'!BT$40/Lists!$D$5)+('Beer Revenue'!#REF!/Lists!$D$6)+('Beer Revenue'!#REF!/6)+('Beer Revenue'!#REF!/2)</f>
        <v>#REF!</v>
      </c>
      <c r="BP90" s="77" t="e">
        <f>('Beer Revenue'!BU$15/Lists!$D$2)+('Beer Revenue'!BU$17/Lists!$D$3)+'Beer Revenue'!BU$24/Lists!$D$4+('Beer Revenue'!BU$40/Lists!$D$5)+('Beer Revenue'!#REF!/Lists!$D$6)+('Beer Revenue'!#REF!/6)+('Beer Revenue'!#REF!/2)</f>
        <v>#REF!</v>
      </c>
      <c r="BQ90" s="77" t="e">
        <f>('Beer Revenue'!BV$15/Lists!$D$2)+('Beer Revenue'!BV$17/Lists!$D$3)+'Beer Revenue'!BV$24/Lists!$D$4+('Beer Revenue'!BV$40/Lists!$D$5)+('Beer Revenue'!#REF!/Lists!$D$6)+('Beer Revenue'!#REF!/6)+('Beer Revenue'!#REF!/2)</f>
        <v>#REF!</v>
      </c>
      <c r="BR90" s="77" t="e">
        <f>('Beer Revenue'!BW$15/Lists!$D$2)+('Beer Revenue'!BW$17/Lists!$D$3)+'Beer Revenue'!BW$24/Lists!$D$4+('Beer Revenue'!BW$40/Lists!$D$5)+('Beer Revenue'!#REF!/Lists!$D$6)+('Beer Revenue'!#REF!/6)+('Beer Revenue'!#REF!/2)</f>
        <v>#REF!</v>
      </c>
      <c r="BS90" s="78" t="e">
        <f>SUM(BG90:BR90)</f>
        <v>#REF!</v>
      </c>
      <c r="BT90" s="37" t="e">
        <f>S90+AF90+AS90+BF90+BS90</f>
        <v>#REF!</v>
      </c>
    </row>
    <row r="91" spans="1:72" ht="15.75" customHeight="1">
      <c r="A91" s="2"/>
      <c r="B91" s="2"/>
      <c r="C91" s="63"/>
      <c r="D91" s="2" t="s">
        <v>226</v>
      </c>
      <c r="E91" s="2"/>
      <c r="F91" s="2"/>
      <c r="G91" s="77">
        <f t="shared" ref="G91:BT91" si="52">G88+G89-G90</f>
        <v>28.618555803571425</v>
      </c>
      <c r="H91" s="77">
        <f t="shared" si="52"/>
        <v>22.73767897645449</v>
      </c>
      <c r="I91" s="77">
        <f t="shared" si="52"/>
        <v>14.440512681811631</v>
      </c>
      <c r="J91" s="77">
        <f t="shared" si="52"/>
        <v>4.6266600752448124</v>
      </c>
      <c r="K91" s="77">
        <f t="shared" si="52"/>
        <v>-6.4362283176123309</v>
      </c>
      <c r="L91" s="77">
        <f t="shared" si="52"/>
        <v>-16.250080924179152</v>
      </c>
      <c r="M91" s="77">
        <f t="shared" si="52"/>
        <v>-25.469154584893438</v>
      </c>
      <c r="N91" s="77">
        <f t="shared" si="52"/>
        <v>-36.992996660786289</v>
      </c>
      <c r="O91" s="77">
        <f t="shared" si="52"/>
        <v>-48.145101895521307</v>
      </c>
      <c r="P91" s="77">
        <f t="shared" si="52"/>
        <v>-59.207990288378454</v>
      </c>
      <c r="Q91" s="77">
        <f t="shared" si="52"/>
        <v>-67.237506057387677</v>
      </c>
      <c r="R91" s="77">
        <f t="shared" si="52"/>
        <v>-74.612764985959103</v>
      </c>
      <c r="S91" s="78">
        <f t="shared" si="52"/>
        <v>-74.612764985959103</v>
      </c>
      <c r="T91" s="77" t="e">
        <f t="shared" si="52"/>
        <v>#REF!</v>
      </c>
      <c r="U91" s="77" t="e">
        <f t="shared" si="52"/>
        <v>#REF!</v>
      </c>
      <c r="V91" s="77" t="e">
        <f t="shared" si="52"/>
        <v>#REF!</v>
      </c>
      <c r="W91" s="77" t="e">
        <f t="shared" si="52"/>
        <v>#REF!</v>
      </c>
      <c r="X91" s="77" t="e">
        <f t="shared" si="52"/>
        <v>#REF!</v>
      </c>
      <c r="Y91" s="77" t="e">
        <f t="shared" si="52"/>
        <v>#REF!</v>
      </c>
      <c r="Z91" s="77" t="e">
        <f t="shared" si="52"/>
        <v>#REF!</v>
      </c>
      <c r="AA91" s="77" t="e">
        <f t="shared" si="52"/>
        <v>#REF!</v>
      </c>
      <c r="AB91" s="77" t="e">
        <f t="shared" si="52"/>
        <v>#REF!</v>
      </c>
      <c r="AC91" s="77" t="e">
        <f t="shared" si="52"/>
        <v>#REF!</v>
      </c>
      <c r="AD91" s="77" t="e">
        <f t="shared" si="52"/>
        <v>#REF!</v>
      </c>
      <c r="AE91" s="77" t="e">
        <f t="shared" si="52"/>
        <v>#REF!</v>
      </c>
      <c r="AF91" s="78" t="e">
        <f t="shared" si="52"/>
        <v>#REF!</v>
      </c>
      <c r="AG91" s="77" t="e">
        <f t="shared" si="52"/>
        <v>#REF!</v>
      </c>
      <c r="AH91" s="77" t="e">
        <f t="shared" si="52"/>
        <v>#REF!</v>
      </c>
      <c r="AI91" s="77" t="e">
        <f t="shared" si="52"/>
        <v>#REF!</v>
      </c>
      <c r="AJ91" s="77" t="e">
        <f t="shared" si="52"/>
        <v>#REF!</v>
      </c>
      <c r="AK91" s="77" t="e">
        <f t="shared" si="52"/>
        <v>#REF!</v>
      </c>
      <c r="AL91" s="77" t="e">
        <f t="shared" si="52"/>
        <v>#REF!</v>
      </c>
      <c r="AM91" s="77" t="e">
        <f t="shared" si="52"/>
        <v>#REF!</v>
      </c>
      <c r="AN91" s="77" t="e">
        <f t="shared" si="52"/>
        <v>#REF!</v>
      </c>
      <c r="AO91" s="77" t="e">
        <f t="shared" si="52"/>
        <v>#REF!</v>
      </c>
      <c r="AP91" s="77" t="e">
        <f t="shared" si="52"/>
        <v>#REF!</v>
      </c>
      <c r="AQ91" s="77" t="e">
        <f t="shared" si="52"/>
        <v>#REF!</v>
      </c>
      <c r="AR91" s="77" t="e">
        <f t="shared" si="52"/>
        <v>#REF!</v>
      </c>
      <c r="AS91" s="78" t="e">
        <f t="shared" si="52"/>
        <v>#REF!</v>
      </c>
      <c r="AT91" s="77" t="e">
        <f t="shared" si="52"/>
        <v>#REF!</v>
      </c>
      <c r="AU91" s="77" t="e">
        <f t="shared" si="52"/>
        <v>#REF!</v>
      </c>
      <c r="AV91" s="77" t="e">
        <f t="shared" si="52"/>
        <v>#REF!</v>
      </c>
      <c r="AW91" s="77" t="e">
        <f t="shared" si="52"/>
        <v>#REF!</v>
      </c>
      <c r="AX91" s="77" t="e">
        <f t="shared" si="52"/>
        <v>#REF!</v>
      </c>
      <c r="AY91" s="77" t="e">
        <f t="shared" si="52"/>
        <v>#REF!</v>
      </c>
      <c r="AZ91" s="77" t="e">
        <f t="shared" si="52"/>
        <v>#REF!</v>
      </c>
      <c r="BA91" s="77" t="e">
        <f t="shared" si="52"/>
        <v>#REF!</v>
      </c>
      <c r="BB91" s="77" t="e">
        <f t="shared" si="52"/>
        <v>#REF!</v>
      </c>
      <c r="BC91" s="77" t="e">
        <f t="shared" si="52"/>
        <v>#REF!</v>
      </c>
      <c r="BD91" s="77" t="e">
        <f t="shared" si="52"/>
        <v>#REF!</v>
      </c>
      <c r="BE91" s="77" t="e">
        <f t="shared" si="52"/>
        <v>#REF!</v>
      </c>
      <c r="BF91" s="78" t="e">
        <f t="shared" si="52"/>
        <v>#REF!</v>
      </c>
      <c r="BG91" s="77" t="e">
        <f t="shared" si="52"/>
        <v>#REF!</v>
      </c>
      <c r="BH91" s="77" t="e">
        <f t="shared" si="52"/>
        <v>#REF!</v>
      </c>
      <c r="BI91" s="77" t="e">
        <f t="shared" si="52"/>
        <v>#REF!</v>
      </c>
      <c r="BJ91" s="77" t="e">
        <f t="shared" si="52"/>
        <v>#REF!</v>
      </c>
      <c r="BK91" s="77" t="e">
        <f t="shared" si="52"/>
        <v>#REF!</v>
      </c>
      <c r="BL91" s="77" t="e">
        <f t="shared" si="52"/>
        <v>#REF!</v>
      </c>
      <c r="BM91" s="77" t="e">
        <f t="shared" si="52"/>
        <v>#REF!</v>
      </c>
      <c r="BN91" s="77" t="e">
        <f t="shared" si="52"/>
        <v>#REF!</v>
      </c>
      <c r="BO91" s="77" t="e">
        <f t="shared" si="52"/>
        <v>#REF!</v>
      </c>
      <c r="BP91" s="77" t="e">
        <f t="shared" si="52"/>
        <v>#REF!</v>
      </c>
      <c r="BQ91" s="77" t="e">
        <f t="shared" si="52"/>
        <v>#REF!</v>
      </c>
      <c r="BR91" s="77" t="e">
        <f t="shared" si="52"/>
        <v>#REF!</v>
      </c>
      <c r="BS91" s="78" t="e">
        <f t="shared" si="52"/>
        <v>#REF!</v>
      </c>
      <c r="BT91" s="78" t="e">
        <f t="shared" si="52"/>
        <v>#REF!</v>
      </c>
    </row>
    <row r="92" spans="1:72" ht="15.75" customHeight="1">
      <c r="A92" s="2"/>
      <c r="B92" s="2"/>
      <c r="C92" s="6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1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1"/>
    </row>
    <row r="93" spans="1:72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1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1"/>
    </row>
    <row r="94" spans="1:72" ht="15.75" customHeight="1">
      <c r="A94" s="1" t="s">
        <v>234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1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1"/>
    </row>
    <row r="95" spans="1:72" ht="15.75" customHeight="1">
      <c r="A95" s="2"/>
      <c r="B95" s="2"/>
      <c r="C95" s="2" t="s">
        <v>235</v>
      </c>
      <c r="D95" s="2"/>
      <c r="E95" s="2"/>
      <c r="F95" s="2"/>
      <c r="G95" s="3">
        <f>G59*Assumptions!$B$53</f>
        <v>175</v>
      </c>
      <c r="H95" s="3">
        <f>H59*Assumptions!$B$53</f>
        <v>0</v>
      </c>
      <c r="I95" s="3">
        <f>I59*Assumptions!$B$53</f>
        <v>0</v>
      </c>
      <c r="J95" s="3">
        <f>J59*Assumptions!$B$53</f>
        <v>0</v>
      </c>
      <c r="K95" s="3">
        <f>K59*Assumptions!$B$53</f>
        <v>0</v>
      </c>
      <c r="L95" s="3">
        <f>L59*Assumptions!$B$53</f>
        <v>0</v>
      </c>
      <c r="M95" s="3">
        <f>M59*Assumptions!$B$53</f>
        <v>0</v>
      </c>
      <c r="N95" s="3">
        <f>N59*Assumptions!$B$53</f>
        <v>0</v>
      </c>
      <c r="O95" s="3">
        <f>O59*Assumptions!$B$53</f>
        <v>0</v>
      </c>
      <c r="P95" s="3">
        <f>P59*Assumptions!$B$53</f>
        <v>0</v>
      </c>
      <c r="Q95" s="3">
        <f>Q59*Assumptions!$B$53</f>
        <v>0</v>
      </c>
      <c r="R95" s="3">
        <f>R59*Assumptions!$B$53</f>
        <v>0</v>
      </c>
      <c r="S95" s="37">
        <f>SUM(G95:R95)</f>
        <v>175</v>
      </c>
      <c r="T95" s="3" t="e">
        <f>(((T$66+T$67)/Lists!$D$7)+(T$74/6)+(T$81/2))*Assumptions!$B$53</f>
        <v>#REF!</v>
      </c>
      <c r="U95" s="3" t="e">
        <f>(((U$66+U$67)/Lists!$D$7)+(U$74/6)+(U$81/2))*Assumptions!$B$53</f>
        <v>#REF!</v>
      </c>
      <c r="V95" s="3" t="e">
        <f>(((V$66+V$67)/Lists!$D$7)+(V$74/6)+(V$81/2))*Assumptions!$B$53</f>
        <v>#REF!</v>
      </c>
      <c r="W95" s="3" t="e">
        <f>(((W$66+W$67)/Lists!$D$7)+(W$74/6)+(W$81/2))*Assumptions!$B$53</f>
        <v>#REF!</v>
      </c>
      <c r="X95" s="3" t="e">
        <f>(((X$66+X$67)/Lists!$D$7)+(X$74/6)+(X$81/2))*Assumptions!$B$53</f>
        <v>#REF!</v>
      </c>
      <c r="Y95" s="3" t="e">
        <f>(((Y$66+Y$67)/Lists!$D$7)+(Y$74/6)+(Y$81/2))*Assumptions!$B$53</f>
        <v>#REF!</v>
      </c>
      <c r="Z95" s="3" t="e">
        <f>(((Z$66+Z$67)/Lists!$D$7)+(Z$74/6)+(Z$81/2))*Assumptions!$B$53</f>
        <v>#REF!</v>
      </c>
      <c r="AA95" s="3" t="e">
        <f>(((AA$66+AA$67)/Lists!$D$7)+(AA$74/6)+(AA$81/2))*Assumptions!$B$53</f>
        <v>#REF!</v>
      </c>
      <c r="AB95" s="3" t="e">
        <f>(((AB$66+AB$67)/Lists!$D$7)+(AB$74/6)+(AB$81/2))*Assumptions!$B$53</f>
        <v>#REF!</v>
      </c>
      <c r="AC95" s="3" t="e">
        <f>(((AC$66+AC$67)/Lists!$D$7)+(AC$74/6)+(AC$81/2))*Assumptions!$B$53</f>
        <v>#REF!</v>
      </c>
      <c r="AD95" s="3" t="e">
        <f>(((AD$66+AD$67)/Lists!$D$7)+(AD$74/6)+(AD$81/2))*Assumptions!$B$53</f>
        <v>#REF!</v>
      </c>
      <c r="AE95" s="3" t="e">
        <f>(((AE$66+AE$67)/Lists!$D$7)+(AE$74/6)+(AE$81/2))*Assumptions!$B$53</f>
        <v>#REF!</v>
      </c>
      <c r="AF95" s="37" t="e">
        <f>SUM(T95:AE95)</f>
        <v>#REF!</v>
      </c>
      <c r="AG95" s="3" t="e">
        <f>(((AG$66+AG$67)/Lists!$D$7)+(AG$74/6)+(AG$81/2))*Assumptions!$B$53</f>
        <v>#REF!</v>
      </c>
      <c r="AH95" s="3" t="e">
        <f>(((AH$66+AH$67)/Lists!$D$7)+(AH$74/6)+(AH$81/2))*Assumptions!$B$53</f>
        <v>#REF!</v>
      </c>
      <c r="AI95" s="3" t="e">
        <f>(((AI$66+AI$67)/Lists!$D$7)+(AI$74/6)+(AI$81/2))*Assumptions!$B$53</f>
        <v>#REF!</v>
      </c>
      <c r="AJ95" s="3" t="e">
        <f>(((AJ$66+AJ$67)/Lists!$D$7)+(AJ$74/6)+(AJ$81/2))*Assumptions!$B$53</f>
        <v>#REF!</v>
      </c>
      <c r="AK95" s="3" t="e">
        <f>(((AK$66+AK$67)/Lists!$D$7)+(AK$74/6)+(AK$81/2))*Assumptions!$B$53</f>
        <v>#REF!</v>
      </c>
      <c r="AL95" s="3" t="e">
        <f>(((AL$66+AL$67)/Lists!$D$7)+(AL$74/6)+(AL$81/2))*Assumptions!$B$53</f>
        <v>#REF!</v>
      </c>
      <c r="AM95" s="3" t="e">
        <f>(((AM$66+AM$67)/Lists!$D$7)+(AM$74/6)+(AM$81/2))*Assumptions!$B$53</f>
        <v>#REF!</v>
      </c>
      <c r="AN95" s="3" t="e">
        <f>(((AN$66+AN$67)/Lists!$D$7)+(AN$74/6)+(AN$81/2))*Assumptions!$B$53</f>
        <v>#REF!</v>
      </c>
      <c r="AO95" s="3" t="e">
        <f>(((AO$66+AO$67)/Lists!$D$7)+(AO$74/6)+(AO$81/2))*Assumptions!$B$53</f>
        <v>#REF!</v>
      </c>
      <c r="AP95" s="3" t="e">
        <f>(((AP$66+AP$67)/Lists!$D$7)+(AP$74/6)+(AP$81/2))*Assumptions!$B$53</f>
        <v>#REF!</v>
      </c>
      <c r="AQ95" s="3" t="e">
        <f>(((AQ$66+AQ$67)/Lists!$D$7)+(AQ$74/6)+(AQ$81/2))*Assumptions!$B$53</f>
        <v>#REF!</v>
      </c>
      <c r="AR95" s="3" t="e">
        <f>(((AR$66+AR$67)/Lists!$D$7)+(AR$74/6)+(AR$81/2))*Assumptions!$B$53</f>
        <v>#REF!</v>
      </c>
      <c r="AS95" s="37" t="e">
        <f>SUM(AG95:AR95)</f>
        <v>#REF!</v>
      </c>
      <c r="AT95" s="3" t="e">
        <f>(((AT$66+AT$67)/Lists!$D$7)+(AT$74/6)+(AT$81/2))*Assumptions!$B$53</f>
        <v>#REF!</v>
      </c>
      <c r="AU95" s="3" t="e">
        <f>(((AU$66+AU$67)/Lists!$D$7)+(AU$74/6)+(AU$81/2))*Assumptions!$B$53</f>
        <v>#REF!</v>
      </c>
      <c r="AV95" s="3" t="e">
        <f>(((AV$66+AV$67)/Lists!$D$7)+(AV$74/6)+(AV$81/2))*Assumptions!$B$53</f>
        <v>#REF!</v>
      </c>
      <c r="AW95" s="3" t="e">
        <f>(((AW$66+AW$67)/Lists!$D$7)+(AW$74/6)+(AW$81/2))*Assumptions!$B$53</f>
        <v>#REF!</v>
      </c>
      <c r="AX95" s="3" t="e">
        <f>(((AX$66+AX$67)/Lists!$D$7)+(AX$74/6)+(AX$81/2))*Assumptions!$B$53</f>
        <v>#REF!</v>
      </c>
      <c r="AY95" s="3" t="e">
        <f>(((AY$66+AY$67)/Lists!$D$7)+(AY$74/6)+(AY$81/2))*Assumptions!$B$53</f>
        <v>#REF!</v>
      </c>
      <c r="AZ95" s="3" t="e">
        <f>(((AZ$66+AZ$67)/Lists!$D$7)+(AZ$74/6)+(AZ$81/2))*Assumptions!$B$53</f>
        <v>#REF!</v>
      </c>
      <c r="BA95" s="3" t="e">
        <f>(((BA$66+BA$67)/Lists!$D$7)+(BA$74/6)+(BA$81/2))*Assumptions!$B$53</f>
        <v>#REF!</v>
      </c>
      <c r="BB95" s="3" t="e">
        <f>(((BB$66+BB$67)/Lists!$D$7)+(BB$74/6)+(BB$81/2))*Assumptions!$B$53</f>
        <v>#REF!</v>
      </c>
      <c r="BC95" s="3" t="e">
        <f>(((BC$66+BC$67)/Lists!$D$7)+(BC$74/6)+(BC$81/2))*Assumptions!$B$53</f>
        <v>#REF!</v>
      </c>
      <c r="BD95" s="3" t="e">
        <f>(((BD$66+BD$67)/Lists!$D$7)+(BD$74/6)+(BD$81/2))*Assumptions!$B$53</f>
        <v>#REF!</v>
      </c>
      <c r="BE95" s="3" t="e">
        <f>(((BE$66+BE$67)/Lists!$D$7)+(BE$74/6)+(BE$81/2))*Assumptions!$B$53</f>
        <v>#REF!</v>
      </c>
      <c r="BF95" s="37" t="e">
        <f>SUM(AT95:BE95)</f>
        <v>#REF!</v>
      </c>
      <c r="BG95" s="3" t="e">
        <f>(((BG$66+BG$67)/Lists!$D$7)+(BG$74/6)+(BG$81/2))*Assumptions!$B$53</f>
        <v>#REF!</v>
      </c>
      <c r="BH95" s="3" t="e">
        <f>(((BH$66+BH$67)/Lists!$D$7)+(BH$74/6)+(BH$81/2))*Assumptions!$B$53</f>
        <v>#REF!</v>
      </c>
      <c r="BI95" s="3" t="e">
        <f>(((BI$66+BI$67)/Lists!$D$7)+(BI$74/6)+(BI$81/2))*Assumptions!$B$53</f>
        <v>#REF!</v>
      </c>
      <c r="BJ95" s="3" t="e">
        <f>(((BJ$66+BJ$67)/Lists!$D$7)+(BJ$74/6)+(BJ$81/2))*Assumptions!$B$53</f>
        <v>#REF!</v>
      </c>
      <c r="BK95" s="3" t="e">
        <f>(((BK$66+BK$67)/Lists!$D$7)+(BK$74/6)+(BK$81/2))*Assumptions!$B$53</f>
        <v>#REF!</v>
      </c>
      <c r="BL95" s="3" t="e">
        <f>(((BL$66+BL$67)/Lists!$D$7)+(BL$74/6)+(BL$81/2))*Assumptions!$B$53</f>
        <v>#REF!</v>
      </c>
      <c r="BM95" s="3" t="e">
        <f>(((BM$66+BM$67)/Lists!$D$7)+(BM$74/6)+(BM$81/2))*Assumptions!$B$53</f>
        <v>#REF!</v>
      </c>
      <c r="BN95" s="3" t="e">
        <f>(((BN$66+BN$67)/Lists!$D$7)+(BN$74/6)+(BN$81/2))*Assumptions!$B$53</f>
        <v>#REF!</v>
      </c>
      <c r="BO95" s="3" t="e">
        <f>(((BO$66+BO$67)/Lists!$D$7)+(BO$74/6)+(BO$81/2))*Assumptions!$B$53</f>
        <v>#REF!</v>
      </c>
      <c r="BP95" s="3" t="e">
        <f>(((BP$66+BP$67)/Lists!$D$7)+(BP$74/6)+(BP$81/2))*Assumptions!$B$53</f>
        <v>#REF!</v>
      </c>
      <c r="BQ95" s="3" t="e">
        <f>(((BQ$66+BQ$67)/Lists!$D$7)+(BQ$74/6)+(BQ$81/2))*Assumptions!$B$53</f>
        <v>#REF!</v>
      </c>
      <c r="BR95" s="3" t="e">
        <f>(((BR$66+BR$67)/Lists!$D$7)+(BR$74/6)+(BR$81/2))*Assumptions!$B$53</f>
        <v>#REF!</v>
      </c>
      <c r="BS95" s="37" t="e">
        <f>SUM(BG95:BR95)</f>
        <v>#REF!</v>
      </c>
      <c r="BT95" s="37" t="e">
        <f>S95+AF95+AS95+BF95+BS95</f>
        <v>#REF!</v>
      </c>
    </row>
    <row r="96" spans="1:72" ht="15.75" customHeight="1">
      <c r="A96" s="2"/>
      <c r="B96" s="2"/>
      <c r="C96" s="2" t="s">
        <v>236</v>
      </c>
      <c r="D96" s="2"/>
      <c r="E96" s="2"/>
      <c r="F96" s="2"/>
      <c r="G96" s="3">
        <f>G59*Assumptions!$B$54</f>
        <v>93</v>
      </c>
      <c r="H96" s="3" t="e">
        <f>(((H$66+H$67)/Lists!$D$7)+(H$74/6)+(H$81/2))*Assumptions!$B$54</f>
        <v>#REF!</v>
      </c>
      <c r="I96" s="3" t="e">
        <f>(((I$66+I$67)/Lists!$D$7)+(I$74/6)+(I$81/2))*Assumptions!$B$54</f>
        <v>#REF!</v>
      </c>
      <c r="J96" s="64" t="e">
        <f>(((J$66+J$67)/Lists!$D$7)+(J$74/6)+(J$81/2))*Assumptions!$B$54</f>
        <v>#REF!</v>
      </c>
      <c r="K96" s="3" t="e">
        <f>(((K$66+K$67)/Lists!$D$7)+(K$74/6)+(K$81/2))*Assumptions!$B$54</f>
        <v>#REF!</v>
      </c>
      <c r="L96" s="3" t="e">
        <f>(((L$66+L$67)/Lists!$D$7)+(L$74/6)+(L$81/2))*Assumptions!$B$54</f>
        <v>#REF!</v>
      </c>
      <c r="M96" s="3" t="e">
        <f>(((M$66+M$67)/Lists!$D$7)+(M$74/6)+(M$81/2))*Assumptions!$B$54</f>
        <v>#REF!</v>
      </c>
      <c r="N96" s="3" t="e">
        <f>(((N$66+N$67)/Lists!$D$7)+(N$74/6)+(N$81/2))*Assumptions!$B$54</f>
        <v>#REF!</v>
      </c>
      <c r="O96" s="3" t="e">
        <f>(((O$66+O$67)/Lists!$D$7)+(O$74/6)+(O$81/2))*Assumptions!$B$54</f>
        <v>#REF!</v>
      </c>
      <c r="P96" s="3" t="e">
        <f>(((P$66+P$67)/Lists!$D$7)+(P$74/6)+(P$81/2))*Assumptions!$B$54</f>
        <v>#REF!</v>
      </c>
      <c r="Q96" s="3" t="e">
        <f>(((Q$66+Q$67)/Lists!$D$7)+(Q$74/6)+(Q$81/2))*Assumptions!$B$54</f>
        <v>#REF!</v>
      </c>
      <c r="R96" s="3" t="e">
        <f>(((R$66+R$67)/Lists!$D$7)+(R$74/6)+(R$81/2))*Assumptions!$B$54</f>
        <v>#REF!</v>
      </c>
      <c r="S96" s="37" t="e">
        <f>SUM(G96:R96)</f>
        <v>#REF!</v>
      </c>
      <c r="T96" s="3" t="e">
        <f>(((T$66+T$67)/Lists!$D$7)+(T$74/6)+(T$81/2))*Assumptions!$B$54</f>
        <v>#REF!</v>
      </c>
      <c r="U96" s="3" t="e">
        <f>(((U$66+U$67)/Lists!$D$7)+(U$74/6)+(U$81/2))*Assumptions!$B$54</f>
        <v>#REF!</v>
      </c>
      <c r="V96" s="3" t="e">
        <f>(((V$66+V$67)/Lists!$D$7)+(V$74/6)+(V$81/2))*Assumptions!$B$54</f>
        <v>#REF!</v>
      </c>
      <c r="W96" s="3" t="e">
        <f>(((W$66+W$67)/Lists!$D$7)+(W$74/6)+(W$81/2))*Assumptions!$B$54</f>
        <v>#REF!</v>
      </c>
      <c r="X96" s="3" t="e">
        <f>(((X$66+X$67)/Lists!$D$7)+(X$74/6)+(X$81/2))*Assumptions!$B$54</f>
        <v>#REF!</v>
      </c>
      <c r="Y96" s="3" t="e">
        <f>(((Y$66+Y$67)/Lists!$D$7)+(Y$74/6)+(Y$81/2))*Assumptions!$B$54</f>
        <v>#REF!</v>
      </c>
      <c r="Z96" s="3" t="e">
        <f>(((Z$66+Z$67)/Lists!$D$7)+(Z$74/6)+(Z$81/2))*Assumptions!$B$54</f>
        <v>#REF!</v>
      </c>
      <c r="AA96" s="3" t="e">
        <f>(((AA$66+AA$67)/Lists!$D$7)+(AA$74/6)+(AA$81/2))*Assumptions!$B$54</f>
        <v>#REF!</v>
      </c>
      <c r="AB96" s="3" t="e">
        <f>(((AB$66+AB$67)/Lists!$D$7)+(AB$74/6)+(AB$81/2))*Assumptions!$B$54</f>
        <v>#REF!</v>
      </c>
      <c r="AC96" s="3" t="e">
        <f>(((AC$66+AC$67)/Lists!$D$7)+(AC$74/6)+(AC$81/2))*Assumptions!$B$54</f>
        <v>#REF!</v>
      </c>
      <c r="AD96" s="3" t="e">
        <f>(((AD$66+AD$67)/Lists!$D$7)+(AD$74/6)+(AD$81/2))*Assumptions!$B$54</f>
        <v>#REF!</v>
      </c>
      <c r="AE96" s="3" t="e">
        <f>(((AE$66+AE$67)/Lists!$D$7)+(AE$74/6)+(AE$81/2))*Assumptions!$B$54</f>
        <v>#REF!</v>
      </c>
      <c r="AF96" s="37" t="e">
        <f>SUM(T96:AE96)</f>
        <v>#REF!</v>
      </c>
      <c r="AG96" s="3" t="e">
        <f>(((AG$66+AG$67)/Lists!$D$7)+(AG$74/6)+(AG$81/2))*Assumptions!$B$54</f>
        <v>#REF!</v>
      </c>
      <c r="AH96" s="3" t="e">
        <f>(((AH$66+AH$67)/Lists!$D$7)+(AH$74/6)+(AH$81/2))*Assumptions!$B$54</f>
        <v>#REF!</v>
      </c>
      <c r="AI96" s="3" t="e">
        <f>(((AI$66+AI$67)/Lists!$D$7)+(AI$74/6)+(AI$81/2))*Assumptions!$B$54</f>
        <v>#REF!</v>
      </c>
      <c r="AJ96" s="3" t="e">
        <f>(((AJ$66+AJ$67)/Lists!$D$7)+(AJ$74/6)+(AJ$81/2))*Assumptions!$B$54</f>
        <v>#REF!</v>
      </c>
      <c r="AK96" s="3" t="e">
        <f>(((AK$66+AK$67)/Lists!$D$7)+(AK$74/6)+(AK$81/2))*Assumptions!$B$54</f>
        <v>#REF!</v>
      </c>
      <c r="AL96" s="3" t="e">
        <f>(((AL$66+AL$67)/Lists!$D$7)+(AL$74/6)+(AL$81/2))*Assumptions!$B$54</f>
        <v>#REF!</v>
      </c>
      <c r="AM96" s="3" t="e">
        <f>(((AM$66+AM$67)/Lists!$D$7)+(AM$74/6)+(AM$81/2))*Assumptions!$B$54</f>
        <v>#REF!</v>
      </c>
      <c r="AN96" s="3" t="e">
        <f>(((AN$66+AN$67)/Lists!$D$7)+(AN$74/6)+(AN$81/2))*Assumptions!$B$54</f>
        <v>#REF!</v>
      </c>
      <c r="AO96" s="3" t="e">
        <f>(((AO$66+AO$67)/Lists!$D$7)+(AO$74/6)+(AO$81/2))*Assumptions!$B$54</f>
        <v>#REF!</v>
      </c>
      <c r="AP96" s="3" t="e">
        <f>(((AP$66+AP$67)/Lists!$D$7)+(AP$74/6)+(AP$81/2))*Assumptions!$B$54</f>
        <v>#REF!</v>
      </c>
      <c r="AQ96" s="3" t="e">
        <f>(((AQ$66+AQ$67)/Lists!$D$7)+(AQ$74/6)+(AQ$81/2))*Assumptions!$B$54</f>
        <v>#REF!</v>
      </c>
      <c r="AR96" s="3" t="e">
        <f>(((AR$66+AR$67)/Lists!$D$7)+(AR$74/6)+(AR$81/2))*Assumptions!$B$54</f>
        <v>#REF!</v>
      </c>
      <c r="AS96" s="37" t="e">
        <f>SUM(AG96:AR96)</f>
        <v>#REF!</v>
      </c>
      <c r="AT96" s="3" t="e">
        <f>(((AT$66+AT$67)/Lists!$D$7)+(AT$74/6)+(AT$81/2))*Assumptions!$B$54</f>
        <v>#REF!</v>
      </c>
      <c r="AU96" s="3" t="e">
        <f>(((AU$66+AU$67)/Lists!$D$7)+(AU$74/6)+(AU$81/2))*Assumptions!$B$54</f>
        <v>#REF!</v>
      </c>
      <c r="AV96" s="3" t="e">
        <f>(((AV$66+AV$67)/Lists!$D$7)+(AV$74/6)+(AV$81/2))*Assumptions!$B$54</f>
        <v>#REF!</v>
      </c>
      <c r="AW96" s="3" t="e">
        <f>(((AW$66+AW$67)/Lists!$D$7)+(AW$74/6)+(AW$81/2))*Assumptions!$B$54</f>
        <v>#REF!</v>
      </c>
      <c r="AX96" s="3" t="e">
        <f>(((AX$66+AX$67)/Lists!$D$7)+(AX$74/6)+(AX$81/2))*Assumptions!$B$54</f>
        <v>#REF!</v>
      </c>
      <c r="AY96" s="3" t="e">
        <f>(((AY$66+AY$67)/Lists!$D$7)+(AY$74/6)+(AY$81/2))*Assumptions!$B$54</f>
        <v>#REF!</v>
      </c>
      <c r="AZ96" s="3" t="e">
        <f>(((AZ$66+AZ$67)/Lists!$D$7)+(AZ$74/6)+(AZ$81/2))*Assumptions!$B$54</f>
        <v>#REF!</v>
      </c>
      <c r="BA96" s="3" t="e">
        <f>(((BA$66+BA$67)/Lists!$D$7)+(BA$74/6)+(BA$81/2))*Assumptions!$B$54</f>
        <v>#REF!</v>
      </c>
      <c r="BB96" s="3" t="e">
        <f>(((BB$66+BB$67)/Lists!$D$7)+(BB$74/6)+(BB$81/2))*Assumptions!$B$54</f>
        <v>#REF!</v>
      </c>
      <c r="BC96" s="3" t="e">
        <f>(((BC$66+BC$67)/Lists!$D$7)+(BC$74/6)+(BC$81/2))*Assumptions!$B$54</f>
        <v>#REF!</v>
      </c>
      <c r="BD96" s="3" t="e">
        <f>(((BD$66+BD$67)/Lists!$D$7)+(BD$74/6)+(BD$81/2))*Assumptions!$B$54</f>
        <v>#REF!</v>
      </c>
      <c r="BE96" s="3" t="e">
        <f>(((BE$66+BE$67)/Lists!$D$7)+(BE$74/6)+(BE$81/2))*Assumptions!$B$54</f>
        <v>#REF!</v>
      </c>
      <c r="BF96" s="37" t="e">
        <f>SUM(AT96:BE96)</f>
        <v>#REF!</v>
      </c>
      <c r="BG96" s="3" t="e">
        <f>(((BG$66+BG$67)/Lists!$D$7)+(BG$74/6)+(BG$81/2))*Assumptions!$B$54</f>
        <v>#REF!</v>
      </c>
      <c r="BH96" s="3" t="e">
        <f>(((BH$66+BH$67)/Lists!$D$7)+(BH$74/6)+(BH$81/2))*Assumptions!$B$54</f>
        <v>#REF!</v>
      </c>
      <c r="BI96" s="3" t="e">
        <f>(((BI$66+BI$67)/Lists!$D$7)+(BI$74/6)+(BI$81/2))*Assumptions!$B$54</f>
        <v>#REF!</v>
      </c>
      <c r="BJ96" s="3" t="e">
        <f>(((BJ$66+BJ$67)/Lists!$D$7)+(BJ$74/6)+(BJ$81/2))*Assumptions!$B$54</f>
        <v>#REF!</v>
      </c>
      <c r="BK96" s="3" t="e">
        <f>(((BK$66+BK$67)/Lists!$D$7)+(BK$74/6)+(BK$81/2))*Assumptions!$B$54</f>
        <v>#REF!</v>
      </c>
      <c r="BL96" s="3" t="e">
        <f>(((BL$66+BL$67)/Lists!$D$7)+(BL$74/6)+(BL$81/2))*Assumptions!$B$54</f>
        <v>#REF!</v>
      </c>
      <c r="BM96" s="3" t="e">
        <f>(((BM$66+BM$67)/Lists!$D$7)+(BM$74/6)+(BM$81/2))*Assumptions!$B$54</f>
        <v>#REF!</v>
      </c>
      <c r="BN96" s="3" t="e">
        <f>(((BN$66+BN$67)/Lists!$D$7)+(BN$74/6)+(BN$81/2))*Assumptions!$B$54</f>
        <v>#REF!</v>
      </c>
      <c r="BO96" s="3" t="e">
        <f>(((BO$66+BO$67)/Lists!$D$7)+(BO$74/6)+(BO$81/2))*Assumptions!$B$54</f>
        <v>#REF!</v>
      </c>
      <c r="BP96" s="3" t="e">
        <f>(((BP$66+BP$67)/Lists!$D$7)+(BP$74/6)+(BP$81/2))*Assumptions!$B$54</f>
        <v>#REF!</v>
      </c>
      <c r="BQ96" s="3" t="e">
        <f>(((BQ$66+BQ$67)/Lists!$D$7)+(BQ$74/6)+(BQ$81/2))*Assumptions!$B$54</f>
        <v>#REF!</v>
      </c>
      <c r="BR96" s="3" t="e">
        <f>(((BR$66+BR$67)/Lists!$D$7)+(BR$74/6)+(BR$81/2))*Assumptions!$B$54</f>
        <v>#REF!</v>
      </c>
      <c r="BS96" s="37" t="e">
        <f>SUM(BG96:BR96)</f>
        <v>#REF!</v>
      </c>
      <c r="BT96" s="37" t="e">
        <f>S96+AF96+AS96+BF96+BS96</f>
        <v>#REF!</v>
      </c>
    </row>
    <row r="97" spans="1:72" ht="15.75" customHeight="1">
      <c r="A97" s="1"/>
      <c r="B97" s="1" t="s">
        <v>237</v>
      </c>
      <c r="C97" s="1"/>
      <c r="D97" s="2"/>
      <c r="E97" s="2"/>
      <c r="F97" s="2"/>
      <c r="G97" s="18">
        <f t="shared" ref="G97:BS97" si="53">SUM(G95:G96)</f>
        <v>268</v>
      </c>
      <c r="H97" s="18" t="e">
        <f t="shared" si="53"/>
        <v>#REF!</v>
      </c>
      <c r="I97" s="18" t="e">
        <f t="shared" si="53"/>
        <v>#REF!</v>
      </c>
      <c r="J97" s="89" t="e">
        <f t="shared" si="53"/>
        <v>#REF!</v>
      </c>
      <c r="K97" s="18" t="e">
        <f t="shared" si="53"/>
        <v>#REF!</v>
      </c>
      <c r="L97" s="18" t="e">
        <f t="shared" si="53"/>
        <v>#REF!</v>
      </c>
      <c r="M97" s="18" t="e">
        <f t="shared" si="53"/>
        <v>#REF!</v>
      </c>
      <c r="N97" s="18" t="e">
        <f t="shared" si="53"/>
        <v>#REF!</v>
      </c>
      <c r="O97" s="18" t="e">
        <f t="shared" si="53"/>
        <v>#REF!</v>
      </c>
      <c r="P97" s="18" t="e">
        <f t="shared" si="53"/>
        <v>#REF!</v>
      </c>
      <c r="Q97" s="18" t="e">
        <f t="shared" si="53"/>
        <v>#REF!</v>
      </c>
      <c r="R97" s="18" t="e">
        <f t="shared" si="53"/>
        <v>#REF!</v>
      </c>
      <c r="S97" s="41" t="e">
        <f t="shared" si="53"/>
        <v>#REF!</v>
      </c>
      <c r="T97" s="18" t="e">
        <f t="shared" si="53"/>
        <v>#REF!</v>
      </c>
      <c r="U97" s="18" t="e">
        <f t="shared" si="53"/>
        <v>#REF!</v>
      </c>
      <c r="V97" s="18" t="e">
        <f t="shared" si="53"/>
        <v>#REF!</v>
      </c>
      <c r="W97" s="18" t="e">
        <f t="shared" si="53"/>
        <v>#REF!</v>
      </c>
      <c r="X97" s="18" t="e">
        <f t="shared" si="53"/>
        <v>#REF!</v>
      </c>
      <c r="Y97" s="18" t="e">
        <f t="shared" si="53"/>
        <v>#REF!</v>
      </c>
      <c r="Z97" s="18" t="e">
        <f t="shared" si="53"/>
        <v>#REF!</v>
      </c>
      <c r="AA97" s="18" t="e">
        <f t="shared" si="53"/>
        <v>#REF!</v>
      </c>
      <c r="AB97" s="18" t="e">
        <f t="shared" si="53"/>
        <v>#REF!</v>
      </c>
      <c r="AC97" s="18" t="e">
        <f t="shared" si="53"/>
        <v>#REF!</v>
      </c>
      <c r="AD97" s="18" t="e">
        <f t="shared" si="53"/>
        <v>#REF!</v>
      </c>
      <c r="AE97" s="18" t="e">
        <f t="shared" si="53"/>
        <v>#REF!</v>
      </c>
      <c r="AF97" s="41" t="e">
        <f t="shared" si="53"/>
        <v>#REF!</v>
      </c>
      <c r="AG97" s="18" t="e">
        <f t="shared" si="53"/>
        <v>#REF!</v>
      </c>
      <c r="AH97" s="18" t="e">
        <f t="shared" si="53"/>
        <v>#REF!</v>
      </c>
      <c r="AI97" s="18" t="e">
        <f t="shared" si="53"/>
        <v>#REF!</v>
      </c>
      <c r="AJ97" s="18" t="e">
        <f t="shared" si="53"/>
        <v>#REF!</v>
      </c>
      <c r="AK97" s="18" t="e">
        <f t="shared" si="53"/>
        <v>#REF!</v>
      </c>
      <c r="AL97" s="18" t="e">
        <f t="shared" si="53"/>
        <v>#REF!</v>
      </c>
      <c r="AM97" s="18" t="e">
        <f t="shared" si="53"/>
        <v>#REF!</v>
      </c>
      <c r="AN97" s="18" t="e">
        <f t="shared" si="53"/>
        <v>#REF!</v>
      </c>
      <c r="AO97" s="18" t="e">
        <f t="shared" si="53"/>
        <v>#REF!</v>
      </c>
      <c r="AP97" s="18" t="e">
        <f t="shared" si="53"/>
        <v>#REF!</v>
      </c>
      <c r="AQ97" s="18" t="e">
        <f t="shared" si="53"/>
        <v>#REF!</v>
      </c>
      <c r="AR97" s="18" t="e">
        <f t="shared" si="53"/>
        <v>#REF!</v>
      </c>
      <c r="AS97" s="41" t="e">
        <f t="shared" si="53"/>
        <v>#REF!</v>
      </c>
      <c r="AT97" s="18" t="e">
        <f t="shared" si="53"/>
        <v>#REF!</v>
      </c>
      <c r="AU97" s="18" t="e">
        <f t="shared" si="53"/>
        <v>#REF!</v>
      </c>
      <c r="AV97" s="18" t="e">
        <f t="shared" si="53"/>
        <v>#REF!</v>
      </c>
      <c r="AW97" s="18" t="e">
        <f t="shared" si="53"/>
        <v>#REF!</v>
      </c>
      <c r="AX97" s="18" t="e">
        <f t="shared" si="53"/>
        <v>#REF!</v>
      </c>
      <c r="AY97" s="18" t="e">
        <f t="shared" si="53"/>
        <v>#REF!</v>
      </c>
      <c r="AZ97" s="18" t="e">
        <f t="shared" si="53"/>
        <v>#REF!</v>
      </c>
      <c r="BA97" s="18" t="e">
        <f t="shared" si="53"/>
        <v>#REF!</v>
      </c>
      <c r="BB97" s="18" t="e">
        <f t="shared" si="53"/>
        <v>#REF!</v>
      </c>
      <c r="BC97" s="18" t="e">
        <f t="shared" si="53"/>
        <v>#REF!</v>
      </c>
      <c r="BD97" s="18" t="e">
        <f t="shared" si="53"/>
        <v>#REF!</v>
      </c>
      <c r="BE97" s="18" t="e">
        <f t="shared" si="53"/>
        <v>#REF!</v>
      </c>
      <c r="BF97" s="41" t="e">
        <f t="shared" si="53"/>
        <v>#REF!</v>
      </c>
      <c r="BG97" s="18" t="e">
        <f t="shared" si="53"/>
        <v>#REF!</v>
      </c>
      <c r="BH97" s="18" t="e">
        <f t="shared" si="53"/>
        <v>#REF!</v>
      </c>
      <c r="BI97" s="18" t="e">
        <f t="shared" si="53"/>
        <v>#REF!</v>
      </c>
      <c r="BJ97" s="18" t="e">
        <f t="shared" si="53"/>
        <v>#REF!</v>
      </c>
      <c r="BK97" s="18" t="e">
        <f t="shared" si="53"/>
        <v>#REF!</v>
      </c>
      <c r="BL97" s="18" t="e">
        <f t="shared" si="53"/>
        <v>#REF!</v>
      </c>
      <c r="BM97" s="18" t="e">
        <f t="shared" si="53"/>
        <v>#REF!</v>
      </c>
      <c r="BN97" s="18" t="e">
        <f t="shared" si="53"/>
        <v>#REF!</v>
      </c>
      <c r="BO97" s="18" t="e">
        <f t="shared" si="53"/>
        <v>#REF!</v>
      </c>
      <c r="BP97" s="18" t="e">
        <f t="shared" si="53"/>
        <v>#REF!</v>
      </c>
      <c r="BQ97" s="18" t="e">
        <f t="shared" si="53"/>
        <v>#REF!</v>
      </c>
      <c r="BR97" s="18" t="e">
        <f t="shared" si="53"/>
        <v>#REF!</v>
      </c>
      <c r="BS97" s="41" t="e">
        <f t="shared" si="53"/>
        <v>#REF!</v>
      </c>
      <c r="BT97" s="37" t="e">
        <f>S97+AF97+AS97+BF97+BS97</f>
        <v>#REF!</v>
      </c>
    </row>
    <row r="98" spans="1:72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1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1"/>
    </row>
    <row r="99" spans="1:72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1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1"/>
    </row>
    <row r="100" spans="1:72" ht="15.75" customHeight="1">
      <c r="A100" s="1" t="s">
        <v>238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1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1"/>
    </row>
    <row r="101" spans="1:72" ht="15.75" customHeight="1">
      <c r="A101" s="2"/>
      <c r="B101" s="2"/>
      <c r="C101" s="2"/>
      <c r="D101" s="2"/>
      <c r="E101" s="2"/>
      <c r="F101" s="2"/>
      <c r="G101" s="77" t="e">
        <f>(G55+(G68*(Lists!$D$7))+(G$74/6)+(G$81/2))</f>
        <v>#REF!</v>
      </c>
      <c r="H101" s="77" t="e">
        <f>(H55+(H68/(Lists!$D$7/12))+(H$74/6)+(H$81/2))</f>
        <v>#REF!</v>
      </c>
      <c r="I101" s="77" t="e">
        <f>(I55+(I68/(Lists!$D$7/12))+(I$74/6)+(I$81/2))</f>
        <v>#REF!</v>
      </c>
      <c r="J101" s="77" t="e">
        <f>(J55+(J68/(Lists!$D$7/12))+(J$74/6)+(J$81/2))</f>
        <v>#REF!</v>
      </c>
      <c r="K101" s="77" t="e">
        <f>(K55+(K68/(Lists!$D$7/12))+(K$74/6)+(K$81/2))</f>
        <v>#REF!</v>
      </c>
      <c r="L101" s="77" t="e">
        <f>(L55+(L68/(Lists!$D$7/12))+(L$74/6)+(L$81/2))</f>
        <v>#REF!</v>
      </c>
      <c r="M101" s="77" t="e">
        <f>(M55+(M68/(Lists!$D$7/12))+(M$74/6)+(M$81/2))</f>
        <v>#REF!</v>
      </c>
      <c r="N101" s="77" t="e">
        <f>(N55+(N68/(Lists!$D$7/12))+(N$74/6)+(N$81/2))</f>
        <v>#REF!</v>
      </c>
      <c r="O101" s="77" t="e">
        <f>(O55+(O68/(Lists!$D$7/12))+(O$74/6)+(O$81/2))</f>
        <v>#REF!</v>
      </c>
      <c r="P101" s="77" t="e">
        <f>(P55+(P68/(Lists!$D$7/12))+(P$74/6)+(P$81/2))</f>
        <v>#REF!</v>
      </c>
      <c r="Q101" s="77" t="e">
        <f>(Q55+(Q68/(Lists!$D$7/12))+(Q$74/6)+(Q$81/2))</f>
        <v>#REF!</v>
      </c>
      <c r="R101" s="77" t="e">
        <f>(R55+(R68/(Lists!$D$7/12))+(R$74/6)+(R$81/2))</f>
        <v>#REF!</v>
      </c>
      <c r="S101" s="37" t="e">
        <f>SUM(G101:R101)</f>
        <v>#REF!</v>
      </c>
      <c r="T101" s="77" t="e">
        <f>(T55+(T68/(Lists!$D$7/12))+(T$74/6)+(T$81/2))</f>
        <v>#REF!</v>
      </c>
      <c r="U101" s="77" t="e">
        <f>(U55+(U68/(Lists!$D$7/12))+(U$74/6)+(U$81/2))</f>
        <v>#REF!</v>
      </c>
      <c r="V101" s="77" t="e">
        <f>(V55+(V68/(Lists!$D$7/12))+(V$74/6)+(V$81/2))</f>
        <v>#REF!</v>
      </c>
      <c r="W101" s="77" t="e">
        <f>(W55+(W68/(Lists!$D$7/12))+(W$74/6)+(W$81/2))</f>
        <v>#REF!</v>
      </c>
      <c r="X101" s="77" t="e">
        <f>(X55+(X68/(Lists!$D$7/12))+(X$74/6)+(X$81/2))</f>
        <v>#REF!</v>
      </c>
      <c r="Y101" s="77" t="e">
        <f>(Y55+(Y68/(Lists!$D$7/12))+(Y$74/6)+(Y$81/2))</f>
        <v>#REF!</v>
      </c>
      <c r="Z101" s="77" t="e">
        <f>(Z55+(Z68/(Lists!$D$7/12))+(Z$74/6)+(Z$81/2))</f>
        <v>#REF!</v>
      </c>
      <c r="AA101" s="77" t="e">
        <f>(AA55+(AA68/(Lists!$D$7/12))+(AA$74/6)+(AA$81/2))</f>
        <v>#REF!</v>
      </c>
      <c r="AB101" s="77" t="e">
        <f>(AB55+(AB68/(Lists!$D$7/12))+(AB$74/6)+(AB$81/2))</f>
        <v>#REF!</v>
      </c>
      <c r="AC101" s="77" t="e">
        <f>(AC55+(AC68/(Lists!$D$7/12))+(AC$74/6)+(AC$81/2))</f>
        <v>#REF!</v>
      </c>
      <c r="AD101" s="77" t="e">
        <f>(AD55+(AD68/(Lists!$D$7/12))+(AD$74/6)+(AD$81/2))</f>
        <v>#REF!</v>
      </c>
      <c r="AE101" s="77" t="e">
        <f>(AE55+(AE68/(Lists!$D$7/12))+(AE$74/6)+(AE$81/2))</f>
        <v>#REF!</v>
      </c>
      <c r="AF101" s="37" t="e">
        <f>SUM(T101:AE101)</f>
        <v>#REF!</v>
      </c>
      <c r="AG101" s="3" t="e">
        <f>(AG55+(AG68/(Lists!$D$7/12))+(AG$74/6)+(AG$81/2))</f>
        <v>#REF!</v>
      </c>
      <c r="AH101" s="3" t="e">
        <f>(AH55+(AH68/(Lists!$D$7/12))+(AH$74/6)+(AH$81/2))</f>
        <v>#REF!</v>
      </c>
      <c r="AI101" s="3" t="e">
        <f>(AI55+(AI68/(Lists!$D$7/12))+(AI$74/6)+(AI$81/2))</f>
        <v>#REF!</v>
      </c>
      <c r="AJ101" s="3" t="e">
        <f>(AJ55+(AJ68/(Lists!$D$7/12))+(AJ$74/6)+(AJ$81/2))</f>
        <v>#REF!</v>
      </c>
      <c r="AK101" s="3" t="e">
        <f>(AK55+(AK68/(Lists!$D$7/12))+(AK$74/6)+(AK$81/2))</f>
        <v>#REF!</v>
      </c>
      <c r="AL101" s="3" t="e">
        <f>(AL55+(AL68/(Lists!$D$7/12))+(AL$74/6)+(AL$81/2))</f>
        <v>#REF!</v>
      </c>
      <c r="AM101" s="3" t="e">
        <f>(AM55+(AM68/(Lists!$D$7/12))+(AM$74/6)+(AM$81/2))</f>
        <v>#REF!</v>
      </c>
      <c r="AN101" s="3" t="e">
        <f>(AN55+(AN68/(Lists!$D$7/12))+(AN$74/6)+(AN$81/2))</f>
        <v>#REF!</v>
      </c>
      <c r="AO101" s="3" t="e">
        <f>(AO55+(AO68/(Lists!$D$7/12))+(AO$74/6)+(AO$81/2))</f>
        <v>#REF!</v>
      </c>
      <c r="AP101" s="3" t="e">
        <f>(AP55+(AP68/(Lists!$D$7/12))+(AP$74/6)+(AP$81/2))</f>
        <v>#REF!</v>
      </c>
      <c r="AQ101" s="3" t="e">
        <f>(AQ55+(AQ68/(Lists!$D$7/12))+(AQ$74/6)+(AQ$81/2))</f>
        <v>#REF!</v>
      </c>
      <c r="AR101" s="3" t="e">
        <f>(AR55+(AR68/(Lists!$D$7/12))+(AR$74/6)+(AR$81/2))</f>
        <v>#REF!</v>
      </c>
      <c r="AS101" s="37" t="e">
        <f>SUM(AG101:AR101)</f>
        <v>#REF!</v>
      </c>
      <c r="AT101" s="3" t="e">
        <f>(AT55+(AT68/(Lists!$D$7/12))+(AT$74/6)+(AT$81/2))</f>
        <v>#REF!</v>
      </c>
      <c r="AU101" s="3" t="e">
        <f>(AU55+(AU68/(Lists!$D$7/12))+(AU$74/6)+(AU$81/2))</f>
        <v>#REF!</v>
      </c>
      <c r="AV101" s="3" t="e">
        <f>(AV55+(AV68/(Lists!$D$7/12))+(AV$74/6)+(AV$81/2))</f>
        <v>#REF!</v>
      </c>
      <c r="AW101" s="3" t="e">
        <f>(AW55+(AW68/(Lists!$D$7/12))+(AW$74/6)+(AW$81/2))</f>
        <v>#REF!</v>
      </c>
      <c r="AX101" s="3" t="e">
        <f>(AX55+(AX68/(Lists!$D$7/12))+(AX$74/6)+(AX$81/2))</f>
        <v>#REF!</v>
      </c>
      <c r="AY101" s="3" t="e">
        <f>(AY55+(AY68/(Lists!$D$7/12))+(AY$74/6)+(AY$81/2))</f>
        <v>#REF!</v>
      </c>
      <c r="AZ101" s="3" t="e">
        <f>(AZ55+(AZ68/(Lists!$D$7/12))+(AZ$74/6)+(AZ$81/2))</f>
        <v>#REF!</v>
      </c>
      <c r="BA101" s="3" t="e">
        <f>(BA55+(BA68/(Lists!$D$7/12))+(BA$74/6)+(BA$81/2))</f>
        <v>#REF!</v>
      </c>
      <c r="BB101" s="3" t="e">
        <f>(BB55+(BB68/(Lists!$D$7/12))+(BB$74/6)+(BB$81/2))</f>
        <v>#REF!</v>
      </c>
      <c r="BC101" s="3" t="e">
        <f>(BC55+(BC68/(Lists!$D$7/12))+(BC$74/6)+(BC$81/2))</f>
        <v>#REF!</v>
      </c>
      <c r="BD101" s="3" t="e">
        <f>(BD55+(BD68/(Lists!$D$7/12))+(BD$74/6)+(BD$81/2))</f>
        <v>#REF!</v>
      </c>
      <c r="BE101" s="3" t="e">
        <f>(BE55+(BE68/(Lists!$D$7/12))+(BE$74/6)+(BE$81/2))</f>
        <v>#REF!</v>
      </c>
      <c r="BF101" s="37" t="e">
        <f>SUM(AT101:BE101)</f>
        <v>#REF!</v>
      </c>
      <c r="BG101" s="3" t="e">
        <f>(BG55+(BG68/(Lists!$D$7/12))+(BG$74/6)+(BG$81/2))</f>
        <v>#REF!</v>
      </c>
      <c r="BH101" s="3" t="e">
        <f>(BH55+(BH68/(Lists!$D$7/12))+(BH$74/6)+(BH$81/2))</f>
        <v>#REF!</v>
      </c>
      <c r="BI101" s="3" t="e">
        <f>(BI55+(BI68/(Lists!$D$7/12))+(BI$74/6)+(BI$81/2))</f>
        <v>#REF!</v>
      </c>
      <c r="BJ101" s="3" t="e">
        <f>(BJ55+(BJ68/(Lists!$D$7/12))+(BJ$74/6)+(BJ$81/2))</f>
        <v>#REF!</v>
      </c>
      <c r="BK101" s="3" t="e">
        <f>(BK55+(BK68/(Lists!$D$7/12))+(BK$74/6)+(BK$81/2))</f>
        <v>#REF!</v>
      </c>
      <c r="BL101" s="3" t="e">
        <f>(BL55+(BL68/(Lists!$D$7/12))+(BL$74/6)+(BL$81/2))</f>
        <v>#REF!</v>
      </c>
      <c r="BM101" s="3" t="e">
        <f>(BM55+(BM68/(Lists!$D$7/12))+(BM$74/6)+(BM$81/2))</f>
        <v>#REF!</v>
      </c>
      <c r="BN101" s="3" t="e">
        <f>(BN55+(BN68/(Lists!$D$7/12))+(BN$74/6)+(BN$81/2))</f>
        <v>#REF!</v>
      </c>
      <c r="BO101" s="3" t="e">
        <f>(BO55+(BO68/(Lists!$D$7/12))+(BO$74/6)+(BO$81/2))</f>
        <v>#REF!</v>
      </c>
      <c r="BP101" s="3" t="e">
        <f>(BP55+(BP68/(Lists!$D$7/12))+(BP$74/6)+(BP$81/2))</f>
        <v>#REF!</v>
      </c>
      <c r="BQ101" s="3" t="e">
        <f>(BQ55+(BQ68/(Lists!$D$7/12))+(BQ$74/6)+(BQ$81/2))</f>
        <v>#REF!</v>
      </c>
      <c r="BR101" s="3" t="e">
        <f>(BR55+(BR68/(Lists!$D$7/12))+(BR$74/6)+(BR$81/2))</f>
        <v>#REF!</v>
      </c>
      <c r="BS101" s="37" t="e">
        <f>SUM(BG101:BR101)</f>
        <v>#REF!</v>
      </c>
      <c r="BT101" s="37" t="e">
        <f>S101+AF101+AS101+BF101+BS101</f>
        <v>#REF!</v>
      </c>
    </row>
    <row r="102" spans="1:72" ht="15.75" customHeight="1">
      <c r="A102" s="2"/>
      <c r="B102" s="2"/>
      <c r="C102" s="2"/>
      <c r="D102" s="2" t="s">
        <v>239</v>
      </c>
      <c r="E102" s="2"/>
      <c r="F102" s="2"/>
      <c r="G102" s="90" t="e">
        <f t="shared" ref="G102:BS102" si="54">SUM(G101)</f>
        <v>#REF!</v>
      </c>
      <c r="H102" s="90" t="e">
        <f t="shared" si="54"/>
        <v>#REF!</v>
      </c>
      <c r="I102" s="90" t="e">
        <f t="shared" si="54"/>
        <v>#REF!</v>
      </c>
      <c r="J102" s="90" t="e">
        <f t="shared" si="54"/>
        <v>#REF!</v>
      </c>
      <c r="K102" s="90" t="e">
        <f t="shared" si="54"/>
        <v>#REF!</v>
      </c>
      <c r="L102" s="90" t="e">
        <f t="shared" si="54"/>
        <v>#REF!</v>
      </c>
      <c r="M102" s="90" t="e">
        <f t="shared" si="54"/>
        <v>#REF!</v>
      </c>
      <c r="N102" s="90" t="e">
        <f t="shared" si="54"/>
        <v>#REF!</v>
      </c>
      <c r="O102" s="90" t="e">
        <f t="shared" si="54"/>
        <v>#REF!</v>
      </c>
      <c r="P102" s="90" t="e">
        <f t="shared" si="54"/>
        <v>#REF!</v>
      </c>
      <c r="Q102" s="90" t="e">
        <f t="shared" si="54"/>
        <v>#REF!</v>
      </c>
      <c r="R102" s="90" t="e">
        <f t="shared" si="54"/>
        <v>#REF!</v>
      </c>
      <c r="S102" s="41" t="e">
        <f t="shared" si="54"/>
        <v>#REF!</v>
      </c>
      <c r="T102" s="90" t="e">
        <f t="shared" si="54"/>
        <v>#REF!</v>
      </c>
      <c r="U102" s="90" t="e">
        <f t="shared" si="54"/>
        <v>#REF!</v>
      </c>
      <c r="V102" s="90" t="e">
        <f t="shared" si="54"/>
        <v>#REF!</v>
      </c>
      <c r="W102" s="90" t="e">
        <f t="shared" si="54"/>
        <v>#REF!</v>
      </c>
      <c r="X102" s="90" t="e">
        <f t="shared" si="54"/>
        <v>#REF!</v>
      </c>
      <c r="Y102" s="90" t="e">
        <f t="shared" si="54"/>
        <v>#REF!</v>
      </c>
      <c r="Z102" s="90" t="e">
        <f t="shared" si="54"/>
        <v>#REF!</v>
      </c>
      <c r="AA102" s="90" t="e">
        <f t="shared" si="54"/>
        <v>#REF!</v>
      </c>
      <c r="AB102" s="90" t="e">
        <f t="shared" si="54"/>
        <v>#REF!</v>
      </c>
      <c r="AC102" s="90" t="e">
        <f t="shared" si="54"/>
        <v>#REF!</v>
      </c>
      <c r="AD102" s="90" t="e">
        <f t="shared" si="54"/>
        <v>#REF!</v>
      </c>
      <c r="AE102" s="90" t="e">
        <f t="shared" si="54"/>
        <v>#REF!</v>
      </c>
      <c r="AF102" s="41" t="e">
        <f t="shared" si="54"/>
        <v>#REF!</v>
      </c>
      <c r="AG102" s="18" t="e">
        <f t="shared" si="54"/>
        <v>#REF!</v>
      </c>
      <c r="AH102" s="18" t="e">
        <f t="shared" si="54"/>
        <v>#REF!</v>
      </c>
      <c r="AI102" s="18" t="e">
        <f t="shared" si="54"/>
        <v>#REF!</v>
      </c>
      <c r="AJ102" s="18" t="e">
        <f t="shared" si="54"/>
        <v>#REF!</v>
      </c>
      <c r="AK102" s="18" t="e">
        <f t="shared" si="54"/>
        <v>#REF!</v>
      </c>
      <c r="AL102" s="18" t="e">
        <f t="shared" si="54"/>
        <v>#REF!</v>
      </c>
      <c r="AM102" s="18" t="e">
        <f t="shared" si="54"/>
        <v>#REF!</v>
      </c>
      <c r="AN102" s="18" t="e">
        <f t="shared" si="54"/>
        <v>#REF!</v>
      </c>
      <c r="AO102" s="18" t="e">
        <f t="shared" si="54"/>
        <v>#REF!</v>
      </c>
      <c r="AP102" s="18" t="e">
        <f t="shared" si="54"/>
        <v>#REF!</v>
      </c>
      <c r="AQ102" s="18" t="e">
        <f t="shared" si="54"/>
        <v>#REF!</v>
      </c>
      <c r="AR102" s="18" t="e">
        <f t="shared" si="54"/>
        <v>#REF!</v>
      </c>
      <c r="AS102" s="41" t="e">
        <f t="shared" si="54"/>
        <v>#REF!</v>
      </c>
      <c r="AT102" s="18" t="e">
        <f t="shared" si="54"/>
        <v>#REF!</v>
      </c>
      <c r="AU102" s="18" t="e">
        <f t="shared" si="54"/>
        <v>#REF!</v>
      </c>
      <c r="AV102" s="18" t="e">
        <f t="shared" si="54"/>
        <v>#REF!</v>
      </c>
      <c r="AW102" s="18" t="e">
        <f t="shared" si="54"/>
        <v>#REF!</v>
      </c>
      <c r="AX102" s="18" t="e">
        <f t="shared" si="54"/>
        <v>#REF!</v>
      </c>
      <c r="AY102" s="18" t="e">
        <f t="shared" si="54"/>
        <v>#REF!</v>
      </c>
      <c r="AZ102" s="18" t="e">
        <f t="shared" si="54"/>
        <v>#REF!</v>
      </c>
      <c r="BA102" s="18" t="e">
        <f t="shared" si="54"/>
        <v>#REF!</v>
      </c>
      <c r="BB102" s="18" t="e">
        <f t="shared" si="54"/>
        <v>#REF!</v>
      </c>
      <c r="BC102" s="18" t="e">
        <f t="shared" si="54"/>
        <v>#REF!</v>
      </c>
      <c r="BD102" s="18" t="e">
        <f t="shared" si="54"/>
        <v>#REF!</v>
      </c>
      <c r="BE102" s="18" t="e">
        <f t="shared" si="54"/>
        <v>#REF!</v>
      </c>
      <c r="BF102" s="41" t="e">
        <f t="shared" si="54"/>
        <v>#REF!</v>
      </c>
      <c r="BG102" s="18" t="e">
        <f t="shared" si="54"/>
        <v>#REF!</v>
      </c>
      <c r="BH102" s="18" t="e">
        <f t="shared" si="54"/>
        <v>#REF!</v>
      </c>
      <c r="BI102" s="18" t="e">
        <f t="shared" si="54"/>
        <v>#REF!</v>
      </c>
      <c r="BJ102" s="18" t="e">
        <f t="shared" si="54"/>
        <v>#REF!</v>
      </c>
      <c r="BK102" s="18" t="e">
        <f t="shared" si="54"/>
        <v>#REF!</v>
      </c>
      <c r="BL102" s="18" t="e">
        <f t="shared" si="54"/>
        <v>#REF!</v>
      </c>
      <c r="BM102" s="18" t="e">
        <f t="shared" si="54"/>
        <v>#REF!</v>
      </c>
      <c r="BN102" s="18" t="e">
        <f t="shared" si="54"/>
        <v>#REF!</v>
      </c>
      <c r="BO102" s="18" t="e">
        <f t="shared" si="54"/>
        <v>#REF!</v>
      </c>
      <c r="BP102" s="18" t="e">
        <f t="shared" si="54"/>
        <v>#REF!</v>
      </c>
      <c r="BQ102" s="18" t="e">
        <f t="shared" si="54"/>
        <v>#REF!</v>
      </c>
      <c r="BR102" s="18" t="e">
        <f t="shared" si="54"/>
        <v>#REF!</v>
      </c>
      <c r="BS102" s="41" t="e">
        <f t="shared" si="54"/>
        <v>#REF!</v>
      </c>
      <c r="BT102" s="37" t="e">
        <f>S102+AF102+AS102+BF102+BS102</f>
        <v>#REF!</v>
      </c>
    </row>
    <row r="103" spans="1:72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37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7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7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7"/>
      <c r="BT103" s="1"/>
    </row>
    <row r="104" spans="1:72" ht="15.75" customHeight="1">
      <c r="A104" s="2"/>
      <c r="B104" s="2"/>
      <c r="C104" s="65" t="s">
        <v>240</v>
      </c>
      <c r="D104" s="2"/>
      <c r="E104" s="2"/>
      <c r="F104" s="2"/>
      <c r="G104" s="3" t="e">
        <f>G101*'Beer COGS'!#REF!</f>
        <v>#REF!</v>
      </c>
      <c r="H104" s="3" t="e">
        <f>H101*'Beer COGS'!#REF!</f>
        <v>#REF!</v>
      </c>
      <c r="I104" s="3" t="e">
        <f>I101*'Beer COGS'!#REF!</f>
        <v>#REF!</v>
      </c>
      <c r="J104" s="3" t="e">
        <f>J101*'Beer COGS'!#REF!</f>
        <v>#REF!</v>
      </c>
      <c r="K104" s="3" t="e">
        <f>K101*'Beer COGS'!#REF!</f>
        <v>#REF!</v>
      </c>
      <c r="L104" s="3" t="e">
        <f>L101*'Beer COGS'!#REF!</f>
        <v>#REF!</v>
      </c>
      <c r="M104" s="3" t="e">
        <f>M101*'Beer COGS'!#REF!</f>
        <v>#REF!</v>
      </c>
      <c r="N104" s="3" t="e">
        <f>N101*'Beer COGS'!#REF!</f>
        <v>#REF!</v>
      </c>
      <c r="O104" s="3" t="e">
        <f>O101*'Beer COGS'!#REF!</f>
        <v>#REF!</v>
      </c>
      <c r="P104" s="3" t="e">
        <f>P101*'Beer COGS'!#REF!</f>
        <v>#REF!</v>
      </c>
      <c r="Q104" s="3" t="e">
        <f>Q101*'Beer COGS'!#REF!</f>
        <v>#REF!</v>
      </c>
      <c r="R104" s="3" t="e">
        <f>R101*'Beer COGS'!#REF!</f>
        <v>#REF!</v>
      </c>
      <c r="S104" s="37" t="e">
        <f>SUM(G104:R104)</f>
        <v>#REF!</v>
      </c>
      <c r="T104" s="3" t="e">
        <f>T101*'Beer COGS'!#REF!</f>
        <v>#REF!</v>
      </c>
      <c r="U104" s="3" t="e">
        <f>U101*'Beer COGS'!#REF!</f>
        <v>#REF!</v>
      </c>
      <c r="V104" s="3" t="e">
        <f>V101*'Beer COGS'!#REF!</f>
        <v>#REF!</v>
      </c>
      <c r="W104" s="3" t="e">
        <f>W101*'Beer COGS'!#REF!</f>
        <v>#REF!</v>
      </c>
      <c r="X104" s="3" t="e">
        <f>X101*'Beer COGS'!#REF!</f>
        <v>#REF!</v>
      </c>
      <c r="Y104" s="3" t="e">
        <f>Y101*'Beer COGS'!#REF!</f>
        <v>#REF!</v>
      </c>
      <c r="Z104" s="3" t="e">
        <f>Z101*'Beer COGS'!#REF!</f>
        <v>#REF!</v>
      </c>
      <c r="AA104" s="3" t="e">
        <f>AA101*'Beer COGS'!#REF!</f>
        <v>#REF!</v>
      </c>
      <c r="AB104" s="3" t="e">
        <f>AB101*'Beer COGS'!#REF!</f>
        <v>#REF!</v>
      </c>
      <c r="AC104" s="3" t="e">
        <f>AC101*'Beer COGS'!#REF!</f>
        <v>#REF!</v>
      </c>
      <c r="AD104" s="3" t="e">
        <f>AD101*'Beer COGS'!#REF!</f>
        <v>#REF!</v>
      </c>
      <c r="AE104" s="3" t="e">
        <f>AE101*'Beer COGS'!#REF!</f>
        <v>#REF!</v>
      </c>
      <c r="AF104" s="37" t="e">
        <f>SUM(T104:AE104)</f>
        <v>#REF!</v>
      </c>
      <c r="AG104" s="3" t="e">
        <f>AG101*'Beer COGS'!#REF!</f>
        <v>#REF!</v>
      </c>
      <c r="AH104" s="3" t="e">
        <f>AH101*'Beer COGS'!#REF!</f>
        <v>#REF!</v>
      </c>
      <c r="AI104" s="3" t="e">
        <f>AI101*'Beer COGS'!#REF!</f>
        <v>#REF!</v>
      </c>
      <c r="AJ104" s="3" t="e">
        <f>AJ101*'Beer COGS'!#REF!</f>
        <v>#REF!</v>
      </c>
      <c r="AK104" s="3" t="e">
        <f>AK101*'Beer COGS'!#REF!</f>
        <v>#REF!</v>
      </c>
      <c r="AL104" s="3" t="e">
        <f>AL101*'Beer COGS'!#REF!</f>
        <v>#REF!</v>
      </c>
      <c r="AM104" s="3" t="e">
        <f>AM101*'Beer COGS'!#REF!</f>
        <v>#REF!</v>
      </c>
      <c r="AN104" s="3" t="e">
        <f>AN101*'Beer COGS'!#REF!</f>
        <v>#REF!</v>
      </c>
      <c r="AO104" s="3" t="e">
        <f>AO101*'Beer COGS'!#REF!</f>
        <v>#REF!</v>
      </c>
      <c r="AP104" s="3" t="e">
        <f>AP101*'Beer COGS'!#REF!</f>
        <v>#REF!</v>
      </c>
      <c r="AQ104" s="3" t="e">
        <f>AQ101*'Beer COGS'!#REF!</f>
        <v>#REF!</v>
      </c>
      <c r="AR104" s="3" t="e">
        <f>AR101*'Beer COGS'!#REF!</f>
        <v>#REF!</v>
      </c>
      <c r="AS104" s="37" t="e">
        <f>SUM(AG104:AR104)</f>
        <v>#REF!</v>
      </c>
      <c r="AT104" s="3" t="e">
        <f>AT101*'Beer COGS'!#REF!</f>
        <v>#REF!</v>
      </c>
      <c r="AU104" s="3" t="e">
        <f>AU101*'Beer COGS'!#REF!</f>
        <v>#REF!</v>
      </c>
      <c r="AV104" s="3" t="e">
        <f>AV101*'Beer COGS'!#REF!</f>
        <v>#REF!</v>
      </c>
      <c r="AW104" s="3" t="e">
        <f>AW101*'Beer COGS'!#REF!</f>
        <v>#REF!</v>
      </c>
      <c r="AX104" s="3" t="e">
        <f>AX101*'Beer COGS'!#REF!</f>
        <v>#REF!</v>
      </c>
      <c r="AY104" s="3" t="e">
        <f>AY101*'Beer COGS'!#REF!</f>
        <v>#REF!</v>
      </c>
      <c r="AZ104" s="3" t="e">
        <f>AZ101*'Beer COGS'!#REF!</f>
        <v>#REF!</v>
      </c>
      <c r="BA104" s="3" t="e">
        <f>BA101*'Beer COGS'!#REF!</f>
        <v>#REF!</v>
      </c>
      <c r="BB104" s="3" t="e">
        <f>BB101*'Beer COGS'!#REF!</f>
        <v>#REF!</v>
      </c>
      <c r="BC104" s="3" t="e">
        <f>BC101*'Beer COGS'!#REF!</f>
        <v>#REF!</v>
      </c>
      <c r="BD104" s="3" t="e">
        <f>BD101*'Beer COGS'!#REF!</f>
        <v>#REF!</v>
      </c>
      <c r="BE104" s="3" t="e">
        <f>BE101*'Beer COGS'!#REF!</f>
        <v>#REF!</v>
      </c>
      <c r="BF104" s="37" t="e">
        <f>SUM(AT104:BE104)</f>
        <v>#REF!</v>
      </c>
      <c r="BG104" s="3" t="e">
        <f>BG101*'Beer COGS'!#REF!</f>
        <v>#REF!</v>
      </c>
      <c r="BH104" s="3" t="e">
        <f>BH101*'Beer COGS'!#REF!</f>
        <v>#REF!</v>
      </c>
      <c r="BI104" s="3" t="e">
        <f>BI101*'Beer COGS'!#REF!</f>
        <v>#REF!</v>
      </c>
      <c r="BJ104" s="3" t="e">
        <f>BJ101*'Beer COGS'!#REF!</f>
        <v>#REF!</v>
      </c>
      <c r="BK104" s="3" t="e">
        <f>BK101*'Beer COGS'!#REF!</f>
        <v>#REF!</v>
      </c>
      <c r="BL104" s="3" t="e">
        <f>BL101*'Beer COGS'!#REF!</f>
        <v>#REF!</v>
      </c>
      <c r="BM104" s="3" t="e">
        <f>BM101*'Beer COGS'!#REF!</f>
        <v>#REF!</v>
      </c>
      <c r="BN104" s="3" t="e">
        <f>BN101*'Beer COGS'!#REF!</f>
        <v>#REF!</v>
      </c>
      <c r="BO104" s="3" t="e">
        <f>BO101*'Beer COGS'!#REF!</f>
        <v>#REF!</v>
      </c>
      <c r="BP104" s="3" t="e">
        <f>BP101*'Beer COGS'!#REF!</f>
        <v>#REF!</v>
      </c>
      <c r="BQ104" s="3" t="e">
        <f>BQ101*'Beer COGS'!#REF!</f>
        <v>#REF!</v>
      </c>
      <c r="BR104" s="3" t="e">
        <f>BR101*'Beer COGS'!#REF!</f>
        <v>#REF!</v>
      </c>
      <c r="BS104" s="37" t="e">
        <f>SUM(BG104:BR104)</f>
        <v>#REF!</v>
      </c>
      <c r="BT104" s="37" t="e">
        <f>S104+AF104+AS104+BF104+BS104</f>
        <v>#REF!</v>
      </c>
    </row>
    <row r="105" spans="1:72" ht="15.75" customHeight="1">
      <c r="A105" s="2"/>
      <c r="B105" s="2"/>
      <c r="C105" s="2"/>
      <c r="D105" s="2" t="s">
        <v>241</v>
      </c>
      <c r="E105" s="2"/>
      <c r="F105" s="2"/>
      <c r="G105" s="18" t="e">
        <f t="shared" ref="G105:BS105" si="55">SUM(G104)</f>
        <v>#REF!</v>
      </c>
      <c r="H105" s="18" t="e">
        <f t="shared" si="55"/>
        <v>#REF!</v>
      </c>
      <c r="I105" s="18" t="e">
        <f t="shared" si="55"/>
        <v>#REF!</v>
      </c>
      <c r="J105" s="18" t="e">
        <f t="shared" si="55"/>
        <v>#REF!</v>
      </c>
      <c r="K105" s="18" t="e">
        <f t="shared" si="55"/>
        <v>#REF!</v>
      </c>
      <c r="L105" s="18" t="e">
        <f t="shared" si="55"/>
        <v>#REF!</v>
      </c>
      <c r="M105" s="18" t="e">
        <f t="shared" si="55"/>
        <v>#REF!</v>
      </c>
      <c r="N105" s="18" t="e">
        <f t="shared" si="55"/>
        <v>#REF!</v>
      </c>
      <c r="O105" s="18" t="e">
        <f t="shared" si="55"/>
        <v>#REF!</v>
      </c>
      <c r="P105" s="18" t="e">
        <f t="shared" si="55"/>
        <v>#REF!</v>
      </c>
      <c r="Q105" s="18" t="e">
        <f t="shared" si="55"/>
        <v>#REF!</v>
      </c>
      <c r="R105" s="18" t="e">
        <f t="shared" si="55"/>
        <v>#REF!</v>
      </c>
      <c r="S105" s="41" t="e">
        <f t="shared" si="55"/>
        <v>#REF!</v>
      </c>
      <c r="T105" s="18" t="e">
        <f t="shared" si="55"/>
        <v>#REF!</v>
      </c>
      <c r="U105" s="18" t="e">
        <f t="shared" si="55"/>
        <v>#REF!</v>
      </c>
      <c r="V105" s="18" t="e">
        <f t="shared" si="55"/>
        <v>#REF!</v>
      </c>
      <c r="W105" s="18" t="e">
        <f t="shared" si="55"/>
        <v>#REF!</v>
      </c>
      <c r="X105" s="18" t="e">
        <f t="shared" si="55"/>
        <v>#REF!</v>
      </c>
      <c r="Y105" s="18" t="e">
        <f t="shared" si="55"/>
        <v>#REF!</v>
      </c>
      <c r="Z105" s="18" t="e">
        <f t="shared" si="55"/>
        <v>#REF!</v>
      </c>
      <c r="AA105" s="18" t="e">
        <f t="shared" si="55"/>
        <v>#REF!</v>
      </c>
      <c r="AB105" s="18" t="e">
        <f t="shared" si="55"/>
        <v>#REF!</v>
      </c>
      <c r="AC105" s="18" t="e">
        <f t="shared" si="55"/>
        <v>#REF!</v>
      </c>
      <c r="AD105" s="18" t="e">
        <f t="shared" si="55"/>
        <v>#REF!</v>
      </c>
      <c r="AE105" s="18" t="e">
        <f t="shared" si="55"/>
        <v>#REF!</v>
      </c>
      <c r="AF105" s="41" t="e">
        <f t="shared" si="55"/>
        <v>#REF!</v>
      </c>
      <c r="AG105" s="18" t="e">
        <f t="shared" si="55"/>
        <v>#REF!</v>
      </c>
      <c r="AH105" s="18" t="e">
        <f t="shared" si="55"/>
        <v>#REF!</v>
      </c>
      <c r="AI105" s="18" t="e">
        <f t="shared" si="55"/>
        <v>#REF!</v>
      </c>
      <c r="AJ105" s="18" t="e">
        <f t="shared" si="55"/>
        <v>#REF!</v>
      </c>
      <c r="AK105" s="18" t="e">
        <f t="shared" si="55"/>
        <v>#REF!</v>
      </c>
      <c r="AL105" s="18" t="e">
        <f t="shared" si="55"/>
        <v>#REF!</v>
      </c>
      <c r="AM105" s="18" t="e">
        <f t="shared" si="55"/>
        <v>#REF!</v>
      </c>
      <c r="AN105" s="18" t="e">
        <f t="shared" si="55"/>
        <v>#REF!</v>
      </c>
      <c r="AO105" s="18" t="e">
        <f t="shared" si="55"/>
        <v>#REF!</v>
      </c>
      <c r="AP105" s="18" t="e">
        <f t="shared" si="55"/>
        <v>#REF!</v>
      </c>
      <c r="AQ105" s="18" t="e">
        <f t="shared" si="55"/>
        <v>#REF!</v>
      </c>
      <c r="AR105" s="18" t="e">
        <f t="shared" si="55"/>
        <v>#REF!</v>
      </c>
      <c r="AS105" s="41" t="e">
        <f t="shared" si="55"/>
        <v>#REF!</v>
      </c>
      <c r="AT105" s="18" t="e">
        <f t="shared" si="55"/>
        <v>#REF!</v>
      </c>
      <c r="AU105" s="18" t="e">
        <f t="shared" si="55"/>
        <v>#REF!</v>
      </c>
      <c r="AV105" s="18" t="e">
        <f t="shared" si="55"/>
        <v>#REF!</v>
      </c>
      <c r="AW105" s="18" t="e">
        <f t="shared" si="55"/>
        <v>#REF!</v>
      </c>
      <c r="AX105" s="18" t="e">
        <f t="shared" si="55"/>
        <v>#REF!</v>
      </c>
      <c r="AY105" s="18" t="e">
        <f t="shared" si="55"/>
        <v>#REF!</v>
      </c>
      <c r="AZ105" s="18" t="e">
        <f t="shared" si="55"/>
        <v>#REF!</v>
      </c>
      <c r="BA105" s="18" t="e">
        <f t="shared" si="55"/>
        <v>#REF!</v>
      </c>
      <c r="BB105" s="18" t="e">
        <f t="shared" si="55"/>
        <v>#REF!</v>
      </c>
      <c r="BC105" s="18" t="e">
        <f t="shared" si="55"/>
        <v>#REF!</v>
      </c>
      <c r="BD105" s="18" t="e">
        <f t="shared" si="55"/>
        <v>#REF!</v>
      </c>
      <c r="BE105" s="18" t="e">
        <f t="shared" si="55"/>
        <v>#REF!</v>
      </c>
      <c r="BF105" s="41" t="e">
        <f t="shared" si="55"/>
        <v>#REF!</v>
      </c>
      <c r="BG105" s="18" t="e">
        <f t="shared" si="55"/>
        <v>#REF!</v>
      </c>
      <c r="BH105" s="18" t="e">
        <f t="shared" si="55"/>
        <v>#REF!</v>
      </c>
      <c r="BI105" s="18" t="e">
        <f t="shared" si="55"/>
        <v>#REF!</v>
      </c>
      <c r="BJ105" s="18" t="e">
        <f t="shared" si="55"/>
        <v>#REF!</v>
      </c>
      <c r="BK105" s="18" t="e">
        <f t="shared" si="55"/>
        <v>#REF!</v>
      </c>
      <c r="BL105" s="18" t="e">
        <f t="shared" si="55"/>
        <v>#REF!</v>
      </c>
      <c r="BM105" s="18" t="e">
        <f t="shared" si="55"/>
        <v>#REF!</v>
      </c>
      <c r="BN105" s="18" t="e">
        <f t="shared" si="55"/>
        <v>#REF!</v>
      </c>
      <c r="BO105" s="18" t="e">
        <f t="shared" si="55"/>
        <v>#REF!</v>
      </c>
      <c r="BP105" s="18" t="e">
        <f t="shared" si="55"/>
        <v>#REF!</v>
      </c>
      <c r="BQ105" s="18" t="e">
        <f t="shared" si="55"/>
        <v>#REF!</v>
      </c>
      <c r="BR105" s="18" t="e">
        <f t="shared" si="55"/>
        <v>#REF!</v>
      </c>
      <c r="BS105" s="41" t="e">
        <f t="shared" si="55"/>
        <v>#REF!</v>
      </c>
      <c r="BT105" s="37" t="e">
        <f>S105+AF105+AS105+BF105+BS105</f>
        <v>#REF!</v>
      </c>
    </row>
    <row r="106" spans="1:72" ht="15.75" customHeight="1"/>
    <row r="107" spans="1:72" ht="15.75" customHeight="1"/>
    <row r="108" spans="1:72" ht="15.75" customHeight="1"/>
    <row r="109" spans="1:72" ht="15.75" customHeight="1"/>
    <row r="110" spans="1:72" ht="15.75" customHeight="1"/>
    <row r="111" spans="1:72" ht="15.75" customHeight="1"/>
    <row r="112" spans="1:7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T1000"/>
  <sheetViews>
    <sheetView workbookViewId="0">
      <selection activeCell="J35" sqref="J35"/>
    </sheetView>
  </sheetViews>
  <sheetFormatPr defaultColWidth="14.453125" defaultRowHeight="15" customHeight="1"/>
  <cols>
    <col min="1" max="1" width="45.54296875" customWidth="1"/>
    <col min="2" max="2" width="16.7265625" customWidth="1"/>
    <col min="3" max="7" width="8.7265625" customWidth="1"/>
    <col min="8" max="8" width="30.26953125" customWidth="1"/>
    <col min="9" max="13" width="8.7265625" customWidth="1"/>
    <col min="14" max="14" width="30.26953125" customWidth="1"/>
    <col min="15" max="19" width="8.7265625" customWidth="1"/>
    <col min="20" max="20" width="30.26953125" customWidth="1"/>
    <col min="21" max="23" width="8.7265625" customWidth="1"/>
  </cols>
  <sheetData>
    <row r="1" spans="1:20" ht="24" customHeight="1">
      <c r="A1" s="115" t="s">
        <v>247</v>
      </c>
      <c r="B1" s="116"/>
      <c r="C1" s="65" t="s">
        <v>248</v>
      </c>
      <c r="H1" s="2"/>
      <c r="N1" s="2"/>
      <c r="T1" s="2"/>
    </row>
    <row r="2" spans="1:20" ht="29.25" customHeight="1">
      <c r="A2" s="116" t="s">
        <v>249</v>
      </c>
      <c r="B2" s="116" t="s">
        <v>250</v>
      </c>
    </row>
    <row r="3" spans="1:20" ht="14.5">
      <c r="A3" s="92" t="s">
        <v>174</v>
      </c>
      <c r="B3" s="117">
        <v>40</v>
      </c>
    </row>
    <row r="4" spans="1:20" ht="14.5">
      <c r="A4" s="92" t="s">
        <v>175</v>
      </c>
      <c r="B4" s="117">
        <v>40</v>
      </c>
    </row>
    <row r="5" spans="1:20" ht="14.5">
      <c r="A5" s="92" t="s">
        <v>176</v>
      </c>
      <c r="B5" s="117">
        <v>115</v>
      </c>
    </row>
    <row r="6" spans="1:20" ht="14.5">
      <c r="A6" s="92" t="s">
        <v>177</v>
      </c>
      <c r="B6" s="117">
        <v>125</v>
      </c>
    </row>
    <row r="7" spans="1:20" ht="14.5">
      <c r="A7" s="92" t="s">
        <v>178</v>
      </c>
      <c r="B7" s="117">
        <v>30</v>
      </c>
    </row>
    <row r="8" spans="1:20" ht="14.5">
      <c r="A8" s="92" t="s">
        <v>179</v>
      </c>
      <c r="B8" s="117">
        <v>60</v>
      </c>
    </row>
    <row r="9" spans="1:20" ht="14.5">
      <c r="A9" s="92" t="s">
        <v>180</v>
      </c>
      <c r="B9" s="117">
        <v>70</v>
      </c>
    </row>
    <row r="10" spans="1:20" ht="14.5">
      <c r="A10" s="92" t="s">
        <v>181</v>
      </c>
      <c r="B10" s="117">
        <v>80</v>
      </c>
    </row>
    <row r="11" spans="1:20" ht="14.5">
      <c r="A11" s="92" t="s">
        <v>182</v>
      </c>
      <c r="B11" s="117">
        <v>90</v>
      </c>
    </row>
    <row r="12" spans="1:20" ht="14.5">
      <c r="A12" s="92" t="s">
        <v>183</v>
      </c>
      <c r="B12" s="117">
        <v>70</v>
      </c>
    </row>
    <row r="13" spans="1:20" ht="14.5">
      <c r="A13" s="92" t="s">
        <v>184</v>
      </c>
      <c r="B13" s="117">
        <v>90</v>
      </c>
    </row>
    <row r="14" spans="1:20" ht="14.5">
      <c r="A14" s="92" t="s">
        <v>185</v>
      </c>
      <c r="B14" s="117">
        <v>100</v>
      </c>
    </row>
    <row r="15" spans="1:20" ht="14.5">
      <c r="A15" s="92" t="s">
        <v>186</v>
      </c>
      <c r="B15" s="117">
        <v>120</v>
      </c>
    </row>
    <row r="16" spans="1:20" ht="14.5">
      <c r="A16" s="92" t="s">
        <v>187</v>
      </c>
      <c r="B16" s="117">
        <v>120</v>
      </c>
    </row>
    <row r="17" spans="1:3" ht="14.5">
      <c r="A17" s="92" t="s">
        <v>188</v>
      </c>
      <c r="B17" s="117">
        <v>125</v>
      </c>
    </row>
    <row r="18" spans="1:3" ht="14.5">
      <c r="A18" s="92" t="s">
        <v>189</v>
      </c>
      <c r="B18" s="117">
        <v>125</v>
      </c>
    </row>
    <row r="19" spans="1:3" ht="14.5">
      <c r="A19" s="92" t="s">
        <v>190</v>
      </c>
      <c r="B19" s="117">
        <v>135</v>
      </c>
    </row>
    <row r="20" spans="1:3" ht="14.5">
      <c r="A20" s="92" t="s">
        <v>191</v>
      </c>
      <c r="B20" s="117">
        <v>130</v>
      </c>
    </row>
    <row r="21" spans="1:3" ht="15.75" customHeight="1">
      <c r="A21" s="92" t="s">
        <v>192</v>
      </c>
      <c r="B21" s="117">
        <v>140</v>
      </c>
    </row>
    <row r="22" spans="1:3" ht="15.75" customHeight="1">
      <c r="A22" s="92" t="s">
        <v>193</v>
      </c>
      <c r="B22" s="117">
        <v>150</v>
      </c>
    </row>
    <row r="23" spans="1:3" ht="15.75" customHeight="1">
      <c r="A23" s="92" t="s">
        <v>194</v>
      </c>
      <c r="B23" s="117">
        <v>150</v>
      </c>
    </row>
    <row r="24" spans="1:3" ht="15.75" customHeight="1">
      <c r="A24" s="92" t="s">
        <v>195</v>
      </c>
      <c r="B24" s="117">
        <v>150</v>
      </c>
    </row>
    <row r="25" spans="1:3" ht="15.75" customHeight="1">
      <c r="A25" s="92" t="s">
        <v>196</v>
      </c>
      <c r="B25" s="117">
        <v>130</v>
      </c>
      <c r="C25" s="2"/>
    </row>
    <row r="26" spans="1:3" ht="15" customHeight="1">
      <c r="A26" s="92" t="s">
        <v>197</v>
      </c>
      <c r="B26" s="117">
        <v>140</v>
      </c>
    </row>
    <row r="27" spans="1:3" ht="15" customHeight="1">
      <c r="A27" s="92" t="s">
        <v>198</v>
      </c>
      <c r="B27" s="117">
        <v>140</v>
      </c>
    </row>
    <row r="28" spans="1:3" ht="15" customHeight="1">
      <c r="A28" s="92" t="s">
        <v>199</v>
      </c>
      <c r="B28" s="117">
        <v>140</v>
      </c>
    </row>
    <row r="29" spans="1:3" ht="15" customHeight="1">
      <c r="A29" s="92" t="s">
        <v>200</v>
      </c>
      <c r="B29" s="117">
        <v>40</v>
      </c>
    </row>
    <row r="30" spans="1:3" ht="15" customHeight="1">
      <c r="A30" s="92" t="s">
        <v>201</v>
      </c>
      <c r="B30" s="117">
        <v>50</v>
      </c>
    </row>
    <row r="31" spans="1:3" ht="15" customHeight="1">
      <c r="A31" s="92" t="s">
        <v>202</v>
      </c>
      <c r="B31" s="117">
        <v>65</v>
      </c>
    </row>
    <row r="32" spans="1:3" ht="15" customHeight="1">
      <c r="A32" s="92" t="s">
        <v>203</v>
      </c>
      <c r="B32" s="117">
        <v>75</v>
      </c>
    </row>
    <row r="33" spans="1:2" ht="15" customHeight="1">
      <c r="A33" s="92" t="s">
        <v>204</v>
      </c>
      <c r="B33" s="117">
        <v>80</v>
      </c>
    </row>
    <row r="34" spans="1:2" ht="15" customHeight="1">
      <c r="A34" s="92" t="s">
        <v>205</v>
      </c>
      <c r="B34" s="117">
        <v>100</v>
      </c>
    </row>
    <row r="35" spans="1:2" ht="15" customHeight="1">
      <c r="A35" s="92" t="s">
        <v>206</v>
      </c>
      <c r="B35" s="117">
        <v>150</v>
      </c>
    </row>
    <row r="36" spans="1:2" ht="15" customHeight="1">
      <c r="A36" s="92" t="s">
        <v>207</v>
      </c>
      <c r="B36" s="117">
        <v>150</v>
      </c>
    </row>
    <row r="37" spans="1:2" ht="15" customHeight="1">
      <c r="A37" s="92" t="s">
        <v>208</v>
      </c>
      <c r="B37" s="117">
        <v>175</v>
      </c>
    </row>
    <row r="38" spans="1:2" ht="15" customHeight="1">
      <c r="A38" s="92" t="s">
        <v>209</v>
      </c>
      <c r="B38" s="117">
        <v>200</v>
      </c>
    </row>
    <row r="39" spans="1:2" ht="15.75" customHeight="1"/>
    <row r="40" spans="1:2" ht="15.75" customHeight="1"/>
    <row r="41" spans="1:2" ht="15.75" customHeight="1"/>
    <row r="42" spans="1:2" ht="15.75" customHeight="1"/>
    <row r="43" spans="1:2" ht="15.75" customHeight="1"/>
    <row r="44" spans="1:2" ht="15.75" customHeight="1"/>
    <row r="45" spans="1:2" ht="15.75" customHeight="1"/>
    <row r="46" spans="1:2" ht="15.75" customHeight="1"/>
    <row r="47" spans="1:2" ht="15.75" customHeight="1"/>
    <row r="48" spans="1: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1000"/>
  <sheetViews>
    <sheetView workbookViewId="0">
      <selection activeCell="D5" sqref="D5"/>
    </sheetView>
  </sheetViews>
  <sheetFormatPr defaultColWidth="14.453125" defaultRowHeight="15" customHeight="1"/>
  <cols>
    <col min="1" max="2" width="8.7265625" customWidth="1"/>
    <col min="3" max="3" width="21" customWidth="1"/>
    <col min="4" max="4" width="13.7265625" customWidth="1"/>
    <col min="5" max="5" width="9.54296875" customWidth="1"/>
    <col min="6" max="7" width="8.7265625" customWidth="1"/>
    <col min="8" max="8" width="9.54296875" customWidth="1"/>
    <col min="9" max="26" width="17.26953125" customWidth="1"/>
  </cols>
  <sheetData>
    <row r="1" spans="1:8" ht="14.5">
      <c r="A1" s="63" t="s">
        <v>312</v>
      </c>
      <c r="C1" s="2" t="s">
        <v>313</v>
      </c>
      <c r="D1" s="2" t="s">
        <v>314</v>
      </c>
      <c r="E1" s="2"/>
      <c r="F1" s="2" t="s">
        <v>315</v>
      </c>
      <c r="H1" s="2"/>
    </row>
    <row r="2" spans="1:8" ht="14.5">
      <c r="A2" s="170">
        <v>1</v>
      </c>
      <c r="C2" s="2" t="s">
        <v>316</v>
      </c>
      <c r="D2" s="77">
        <f>D11/4</f>
        <v>992</v>
      </c>
      <c r="E2" s="77"/>
      <c r="F2" s="2" t="s">
        <v>137</v>
      </c>
      <c r="H2" s="2"/>
    </row>
    <row r="3" spans="1:8" ht="14.5">
      <c r="A3" s="170">
        <v>2</v>
      </c>
      <c r="C3" s="2" t="s">
        <v>317</v>
      </c>
      <c r="D3" s="77">
        <f>D11/10</f>
        <v>396.8</v>
      </c>
      <c r="E3" s="77"/>
      <c r="F3" s="2" t="s">
        <v>318</v>
      </c>
      <c r="H3" s="2"/>
    </row>
    <row r="4" spans="1:8" ht="14.5">
      <c r="A4" s="170">
        <v>3</v>
      </c>
      <c r="C4" s="2" t="s">
        <v>319</v>
      </c>
      <c r="D4" s="77">
        <f>D11/12</f>
        <v>330.66666666666669</v>
      </c>
      <c r="E4" s="77"/>
      <c r="H4" s="2"/>
    </row>
    <row r="5" spans="1:8" ht="14.5">
      <c r="A5" s="170">
        <v>4</v>
      </c>
      <c r="C5" s="2" t="s">
        <v>320</v>
      </c>
      <c r="D5" s="77">
        <f>D11/14</f>
        <v>283.42857142857144</v>
      </c>
      <c r="E5" s="77"/>
      <c r="H5" s="2"/>
    </row>
    <row r="6" spans="1:8" ht="14.5">
      <c r="A6" s="170">
        <v>5</v>
      </c>
      <c r="C6" s="2" t="s">
        <v>321</v>
      </c>
      <c r="D6" s="77">
        <f>D11/64</f>
        <v>62</v>
      </c>
      <c r="E6" s="77"/>
      <c r="H6" s="2"/>
    </row>
    <row r="7" spans="1:8" ht="14.5">
      <c r="A7" s="170">
        <v>6</v>
      </c>
      <c r="C7" s="2" t="s">
        <v>322</v>
      </c>
      <c r="D7" s="171">
        <v>9.6769999999999995E-2</v>
      </c>
      <c r="E7" s="2"/>
      <c r="H7" s="2"/>
    </row>
    <row r="8" spans="1:8" ht="14.5">
      <c r="A8" s="170">
        <v>7</v>
      </c>
      <c r="C8" s="2" t="s">
        <v>218</v>
      </c>
      <c r="D8" s="77">
        <v>6</v>
      </c>
      <c r="E8" s="2"/>
      <c r="H8" s="2"/>
    </row>
    <row r="9" spans="1:8" ht="14.5">
      <c r="A9" s="170">
        <v>8</v>
      </c>
      <c r="C9" s="2" t="s">
        <v>219</v>
      </c>
      <c r="D9" s="77">
        <v>2</v>
      </c>
      <c r="E9" s="2"/>
      <c r="H9" s="2"/>
    </row>
    <row r="10" spans="1:8" ht="14.5">
      <c r="A10" s="170">
        <v>9</v>
      </c>
      <c r="C10" s="2" t="s">
        <v>323</v>
      </c>
      <c r="D10" s="77">
        <v>31</v>
      </c>
      <c r="E10" s="2"/>
      <c r="H10" s="2"/>
    </row>
    <row r="11" spans="1:8" ht="14.5">
      <c r="A11" s="170">
        <v>10</v>
      </c>
      <c r="C11" s="2" t="s">
        <v>324</v>
      </c>
      <c r="D11" s="77">
        <f>128*31</f>
        <v>3968</v>
      </c>
      <c r="E11" s="2"/>
      <c r="H11" s="2"/>
    </row>
    <row r="12" spans="1:8" ht="14.5">
      <c r="A12" s="170">
        <v>11</v>
      </c>
      <c r="C12" s="2" t="s">
        <v>325</v>
      </c>
      <c r="D12" s="77">
        <f>3785.4*31</f>
        <v>117347.40000000001</v>
      </c>
      <c r="E12" s="2"/>
      <c r="H12" s="2"/>
    </row>
    <row r="13" spans="1:8" ht="14.5">
      <c r="A13" s="170">
        <v>12</v>
      </c>
      <c r="C13" s="2"/>
      <c r="D13" s="2"/>
      <c r="E13" s="2"/>
      <c r="H13" s="2"/>
    </row>
    <row r="14" spans="1:8" ht="14.5">
      <c r="A14" s="170">
        <v>13</v>
      </c>
      <c r="C14" s="2"/>
      <c r="D14" s="2"/>
      <c r="E14" s="2"/>
      <c r="H14" s="2"/>
    </row>
    <row r="15" spans="1:8" ht="14.5">
      <c r="A15" s="170">
        <v>14</v>
      </c>
      <c r="C15" s="2"/>
      <c r="D15" s="2"/>
      <c r="E15" s="2"/>
      <c r="H15" s="2"/>
    </row>
    <row r="16" spans="1:8" ht="14.5">
      <c r="A16" s="170">
        <v>15</v>
      </c>
      <c r="C16" s="2"/>
      <c r="D16" s="2"/>
      <c r="E16" s="2"/>
      <c r="H16" s="2"/>
    </row>
    <row r="17" spans="1:8" ht="14.5">
      <c r="A17" s="170">
        <v>16</v>
      </c>
      <c r="C17" s="2"/>
      <c r="D17" s="2"/>
      <c r="E17" s="2"/>
      <c r="H17" s="2"/>
    </row>
    <row r="18" spans="1:8" ht="14.5">
      <c r="A18" s="170">
        <v>17</v>
      </c>
      <c r="C18" s="2"/>
      <c r="D18" s="2"/>
      <c r="E18" s="77"/>
      <c r="H18" s="2"/>
    </row>
    <row r="19" spans="1:8" ht="14.5">
      <c r="A19" s="170">
        <v>18</v>
      </c>
      <c r="C19" s="2"/>
      <c r="D19" s="2"/>
      <c r="E19" s="2"/>
      <c r="H19" s="2"/>
    </row>
    <row r="20" spans="1:8" ht="14.5">
      <c r="A20" s="170">
        <v>19</v>
      </c>
      <c r="C20" s="2"/>
      <c r="D20" s="2"/>
      <c r="E20" s="2"/>
      <c r="H20" s="2"/>
    </row>
    <row r="21" spans="1:8" ht="15.75" customHeight="1">
      <c r="A21" s="170">
        <v>20</v>
      </c>
      <c r="C21" s="2"/>
      <c r="D21" s="2"/>
      <c r="E21" s="2"/>
      <c r="H21" s="2"/>
    </row>
    <row r="22" spans="1:8" ht="15.75" customHeight="1">
      <c r="A22" s="170">
        <v>21</v>
      </c>
      <c r="C22" s="2"/>
      <c r="D22" s="2"/>
      <c r="E22" s="2"/>
      <c r="H22" s="2"/>
    </row>
    <row r="23" spans="1:8" ht="15.75" customHeight="1">
      <c r="A23" s="170">
        <v>22</v>
      </c>
      <c r="C23" s="2"/>
      <c r="D23" s="2"/>
      <c r="E23" s="2"/>
      <c r="H23" s="2"/>
    </row>
    <row r="24" spans="1:8" ht="15.75" customHeight="1">
      <c r="A24" s="170">
        <v>23</v>
      </c>
      <c r="C24" s="2"/>
      <c r="D24" s="2"/>
      <c r="E24" s="2"/>
      <c r="H24" s="2"/>
    </row>
    <row r="25" spans="1:8" ht="15.75" customHeight="1">
      <c r="A25" s="170">
        <v>24</v>
      </c>
      <c r="C25" s="2"/>
      <c r="D25" s="2"/>
      <c r="E25" s="2"/>
      <c r="H25" s="2"/>
    </row>
    <row r="26" spans="1:8" ht="15.75" customHeight="1">
      <c r="A26" s="170">
        <v>25</v>
      </c>
      <c r="C26" s="2"/>
      <c r="D26" s="2"/>
      <c r="E26" s="2"/>
      <c r="H26" s="2"/>
    </row>
    <row r="27" spans="1:8" ht="15.75" customHeight="1">
      <c r="A27" s="170">
        <v>26</v>
      </c>
      <c r="C27" s="2"/>
      <c r="D27" s="2"/>
      <c r="E27" s="2"/>
      <c r="H27" s="2"/>
    </row>
    <row r="28" spans="1:8" ht="15.75" customHeight="1">
      <c r="A28" s="170">
        <v>27</v>
      </c>
      <c r="C28" s="2"/>
      <c r="D28" s="2"/>
      <c r="E28" s="2"/>
      <c r="H28" s="2"/>
    </row>
    <row r="29" spans="1:8" ht="15.75" customHeight="1">
      <c r="A29" s="170">
        <v>28</v>
      </c>
      <c r="C29" s="2"/>
      <c r="D29" s="2"/>
      <c r="E29" s="2"/>
      <c r="H29" s="2"/>
    </row>
    <row r="30" spans="1:8" ht="15.75" customHeight="1">
      <c r="A30" s="170">
        <v>29</v>
      </c>
      <c r="C30" s="2"/>
      <c r="D30" s="2"/>
      <c r="E30" s="2"/>
      <c r="H30" s="2"/>
    </row>
    <row r="31" spans="1:8" ht="15.75" customHeight="1">
      <c r="A31" s="170">
        <v>30</v>
      </c>
      <c r="C31" s="2"/>
      <c r="D31" s="2"/>
      <c r="E31" s="2"/>
      <c r="H31" s="2"/>
    </row>
    <row r="32" spans="1:8" ht="15.75" customHeight="1">
      <c r="A32" s="170">
        <v>31</v>
      </c>
      <c r="C32" s="2"/>
      <c r="D32" s="2"/>
      <c r="E32" s="2"/>
      <c r="H32" s="2"/>
    </row>
    <row r="33" spans="1:8" ht="15.75" customHeight="1">
      <c r="A33" s="170">
        <v>32</v>
      </c>
      <c r="C33" s="2"/>
      <c r="D33" s="2"/>
      <c r="E33" s="2"/>
      <c r="H33" s="2"/>
    </row>
    <row r="34" spans="1:8" ht="15.75" customHeight="1">
      <c r="A34" s="170">
        <v>33</v>
      </c>
      <c r="C34" s="2"/>
      <c r="D34" s="2"/>
      <c r="E34" s="2"/>
      <c r="H34" s="2"/>
    </row>
    <row r="35" spans="1:8" ht="15.75" customHeight="1">
      <c r="A35" s="170">
        <v>34</v>
      </c>
      <c r="C35" s="2"/>
      <c r="D35" s="2"/>
      <c r="E35" s="2"/>
      <c r="H35" s="2"/>
    </row>
    <row r="36" spans="1:8" ht="15.75" customHeight="1">
      <c r="A36" s="170">
        <v>35</v>
      </c>
      <c r="C36" s="2"/>
      <c r="D36" s="2"/>
      <c r="E36" s="2"/>
      <c r="H36" s="2"/>
    </row>
    <row r="37" spans="1:8" ht="15.75" customHeight="1">
      <c r="A37" s="170">
        <v>36</v>
      </c>
      <c r="C37" s="2"/>
      <c r="D37" s="2"/>
      <c r="E37" s="2"/>
      <c r="H37" s="2"/>
    </row>
    <row r="38" spans="1:8" ht="15.75" customHeight="1">
      <c r="A38" s="170">
        <v>37</v>
      </c>
      <c r="C38" s="2"/>
      <c r="D38" s="2"/>
      <c r="E38" s="2"/>
      <c r="H38" s="2"/>
    </row>
    <row r="39" spans="1:8" ht="15.75" customHeight="1">
      <c r="A39" s="170">
        <v>38</v>
      </c>
      <c r="C39" s="2"/>
      <c r="D39" s="2"/>
      <c r="E39" s="2"/>
      <c r="H39" s="2"/>
    </row>
    <row r="40" spans="1:8" ht="15.75" customHeight="1">
      <c r="A40" s="170">
        <v>39</v>
      </c>
      <c r="C40" s="2"/>
      <c r="D40" s="2"/>
      <c r="E40" s="2"/>
      <c r="H40" s="2"/>
    </row>
    <row r="41" spans="1:8" ht="15.75" customHeight="1">
      <c r="A41" s="170">
        <v>40</v>
      </c>
      <c r="C41" s="2"/>
      <c r="D41" s="2"/>
      <c r="E41" s="2"/>
      <c r="H41" s="2"/>
    </row>
    <row r="42" spans="1:8" ht="15.75" customHeight="1">
      <c r="A42" s="170">
        <v>41</v>
      </c>
      <c r="C42" s="2"/>
      <c r="D42" s="2"/>
      <c r="E42" s="2"/>
      <c r="H42" s="2"/>
    </row>
    <row r="43" spans="1:8" ht="15.75" customHeight="1">
      <c r="A43" s="170">
        <v>42</v>
      </c>
      <c r="C43" s="2"/>
      <c r="D43" s="2"/>
      <c r="E43" s="2"/>
      <c r="H43" s="2"/>
    </row>
    <row r="44" spans="1:8" ht="15.75" customHeight="1">
      <c r="A44" s="170">
        <v>43</v>
      </c>
      <c r="C44" s="2"/>
      <c r="D44" s="2"/>
      <c r="E44" s="2"/>
      <c r="H44" s="2"/>
    </row>
    <row r="45" spans="1:8" ht="15.75" customHeight="1">
      <c r="A45" s="170">
        <v>44</v>
      </c>
      <c r="C45" s="2"/>
      <c r="D45" s="2"/>
      <c r="E45" s="2"/>
      <c r="H45" s="2"/>
    </row>
    <row r="46" spans="1:8" ht="15.75" customHeight="1">
      <c r="A46" s="170">
        <v>45</v>
      </c>
      <c r="C46" s="2"/>
      <c r="D46" s="2"/>
      <c r="E46" s="2"/>
      <c r="H46" s="2"/>
    </row>
    <row r="47" spans="1:8" ht="15.75" customHeight="1">
      <c r="A47" s="170">
        <v>46</v>
      </c>
      <c r="C47" s="2"/>
      <c r="D47" s="2"/>
      <c r="E47" s="2"/>
      <c r="H47" s="2"/>
    </row>
    <row r="48" spans="1:8" ht="15.75" customHeight="1">
      <c r="A48" s="170">
        <v>47</v>
      </c>
      <c r="C48" s="2"/>
      <c r="D48" s="2"/>
      <c r="E48" s="2"/>
      <c r="H48" s="2"/>
    </row>
    <row r="49" spans="1:8" ht="15.75" customHeight="1">
      <c r="A49" s="170">
        <v>48</v>
      </c>
      <c r="C49" s="2"/>
      <c r="D49" s="2"/>
      <c r="E49" s="2"/>
      <c r="H49" s="2"/>
    </row>
    <row r="50" spans="1:8" ht="15.75" customHeight="1">
      <c r="A50" s="170">
        <v>49</v>
      </c>
      <c r="C50" s="2"/>
      <c r="D50" s="2"/>
      <c r="E50" s="2"/>
      <c r="H50" s="2"/>
    </row>
    <row r="51" spans="1:8" ht="15.75" customHeight="1">
      <c r="A51" s="170">
        <v>50</v>
      </c>
      <c r="C51" s="2"/>
      <c r="D51" s="2"/>
      <c r="E51" s="2"/>
      <c r="H51" s="2"/>
    </row>
    <row r="52" spans="1:8" ht="15.75" customHeight="1">
      <c r="A52" s="170">
        <v>51</v>
      </c>
      <c r="C52" s="2"/>
      <c r="D52" s="2"/>
      <c r="E52" s="2"/>
      <c r="H52" s="2"/>
    </row>
    <row r="53" spans="1:8" ht="15.75" customHeight="1">
      <c r="A53" s="170">
        <v>52</v>
      </c>
      <c r="C53" s="2"/>
      <c r="D53" s="2"/>
      <c r="E53" s="2"/>
      <c r="H53" s="2"/>
    </row>
    <row r="54" spans="1:8" ht="15.75" customHeight="1">
      <c r="A54" s="170">
        <v>53</v>
      </c>
      <c r="C54" s="2"/>
      <c r="D54" s="2"/>
      <c r="E54" s="2"/>
      <c r="H54" s="2"/>
    </row>
    <row r="55" spans="1:8" ht="15.75" customHeight="1">
      <c r="A55" s="170">
        <v>54</v>
      </c>
      <c r="C55" s="2"/>
      <c r="D55" s="2"/>
      <c r="E55" s="2"/>
      <c r="H55" s="2"/>
    </row>
    <row r="56" spans="1:8" ht="15.75" customHeight="1">
      <c r="A56" s="170">
        <v>55</v>
      </c>
      <c r="C56" s="2"/>
      <c r="D56" s="2"/>
      <c r="E56" s="2"/>
      <c r="H56" s="2"/>
    </row>
    <row r="57" spans="1:8" ht="15.75" customHeight="1">
      <c r="A57" s="170">
        <v>56</v>
      </c>
      <c r="C57" s="2"/>
      <c r="D57" s="2"/>
      <c r="E57" s="2"/>
      <c r="H57" s="2"/>
    </row>
    <row r="58" spans="1:8" ht="15.75" customHeight="1">
      <c r="A58" s="170">
        <v>57</v>
      </c>
      <c r="C58" s="2"/>
      <c r="D58" s="2"/>
      <c r="E58" s="2"/>
      <c r="H58" s="2"/>
    </row>
    <row r="59" spans="1:8" ht="15.75" customHeight="1">
      <c r="A59" s="170">
        <v>58</v>
      </c>
      <c r="C59" s="2"/>
      <c r="D59" s="2"/>
      <c r="E59" s="2"/>
      <c r="H59" s="2"/>
    </row>
    <row r="60" spans="1:8" ht="15.75" customHeight="1">
      <c r="A60" s="170">
        <v>59</v>
      </c>
      <c r="C60" s="2"/>
      <c r="D60" s="2"/>
      <c r="E60" s="2"/>
      <c r="H60" s="2"/>
    </row>
    <row r="61" spans="1:8" ht="15.75" customHeight="1">
      <c r="A61" s="170">
        <v>60</v>
      </c>
      <c r="C61" s="2"/>
      <c r="D61" s="2"/>
      <c r="E61" s="2"/>
      <c r="H61" s="2"/>
    </row>
    <row r="62" spans="1:8" ht="15.75" customHeight="1">
      <c r="A62" s="170"/>
      <c r="C62" s="2"/>
      <c r="D62" s="2"/>
      <c r="E62" s="2"/>
      <c r="H62" s="2"/>
    </row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AD1000"/>
  <sheetViews>
    <sheetView workbookViewId="0">
      <selection activeCell="J35" sqref="J35"/>
    </sheetView>
  </sheetViews>
  <sheetFormatPr defaultColWidth="14.453125" defaultRowHeight="15" customHeight="1"/>
  <cols>
    <col min="1" max="1" width="21.54296875" customWidth="1"/>
    <col min="2" max="2" width="13.26953125" customWidth="1"/>
    <col min="3" max="3" width="10.26953125" customWidth="1"/>
    <col min="4" max="4" width="14.54296875" customWidth="1"/>
    <col min="5" max="5" width="10.453125" customWidth="1"/>
    <col min="6" max="6" width="11" customWidth="1"/>
    <col min="7" max="7" width="10.453125" customWidth="1"/>
    <col min="8" max="8" width="10.54296875" customWidth="1"/>
    <col min="9" max="9" width="13.1796875" customWidth="1"/>
    <col min="10" max="10" width="10.453125" customWidth="1"/>
    <col min="11" max="11" width="8.7265625" customWidth="1"/>
    <col min="12" max="12" width="8" customWidth="1"/>
    <col min="13" max="14" width="11" customWidth="1"/>
    <col min="15" max="15" width="7.7265625" customWidth="1"/>
    <col min="16" max="16" width="11.54296875" customWidth="1"/>
    <col min="17" max="17" width="10" customWidth="1"/>
    <col min="18" max="18" width="8" customWidth="1"/>
    <col min="19" max="19" width="11" customWidth="1"/>
    <col min="20" max="20" width="5.1796875" customWidth="1"/>
    <col min="21" max="22" width="9.1796875" customWidth="1"/>
    <col min="23" max="24" width="9.81640625" customWidth="1"/>
    <col min="25" max="25" width="9.1796875" customWidth="1"/>
    <col min="26" max="26" width="11.453125" customWidth="1"/>
    <col min="27" max="27" width="12.26953125" customWidth="1"/>
    <col min="28" max="30" width="8.54296875" customWidth="1"/>
  </cols>
  <sheetData>
    <row r="1" spans="1:30" ht="12.75" customHeight="1">
      <c r="A1" s="172" t="s">
        <v>326</v>
      </c>
      <c r="B1" s="173"/>
      <c r="C1" s="174"/>
      <c r="D1" s="174"/>
      <c r="E1" s="175"/>
      <c r="F1" s="174"/>
      <c r="G1" s="174"/>
      <c r="H1" s="176"/>
      <c r="I1" s="173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</row>
    <row r="2" spans="1:30" ht="41.25" customHeight="1">
      <c r="A2" s="172"/>
      <c r="B2" s="178" t="s">
        <v>327</v>
      </c>
      <c r="C2" s="179" t="s">
        <v>328</v>
      </c>
      <c r="D2" s="180" t="s">
        <v>329</v>
      </c>
      <c r="E2" s="181" t="s">
        <v>330</v>
      </c>
      <c r="F2" s="182" t="s">
        <v>331</v>
      </c>
      <c r="G2" s="179" t="s">
        <v>332</v>
      </c>
      <c r="H2" s="180" t="s">
        <v>333</v>
      </c>
      <c r="I2" s="182" t="s">
        <v>334</v>
      </c>
      <c r="J2" s="172" t="s">
        <v>335</v>
      </c>
      <c r="K2" s="172"/>
      <c r="L2" s="179" t="s">
        <v>336</v>
      </c>
      <c r="M2" s="179" t="s">
        <v>337</v>
      </c>
      <c r="N2" s="172" t="s">
        <v>338</v>
      </c>
      <c r="O2" s="172"/>
      <c r="P2" s="172" t="str">
        <f t="array" ref="P2:P38">AA41:AA77</f>
        <v>daily full pour</v>
      </c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</row>
    <row r="3" spans="1:30" ht="12.75" customHeight="1">
      <c r="A3" s="177" t="s">
        <v>174</v>
      </c>
      <c r="B3" s="183">
        <v>40</v>
      </c>
      <c r="C3" s="184">
        <f t="shared" ref="C3:C38" si="0">B3/3986</f>
        <v>1.0035122930255895E-2</v>
      </c>
      <c r="D3" s="185">
        <v>16</v>
      </c>
      <c r="E3" s="186">
        <f t="shared" ref="E3:E38" si="1">C3*D3</f>
        <v>0.16056196688409433</v>
      </c>
      <c r="F3" s="183">
        <v>7</v>
      </c>
      <c r="G3" s="183">
        <f t="shared" ref="G3:G38" si="2">F3-E3</f>
        <v>6.8394380331159059</v>
      </c>
      <c r="H3" s="187">
        <f t="shared" ref="H3:H38" si="3">G3/E3</f>
        <v>42.596875000000004</v>
      </c>
      <c r="I3" s="188">
        <f t="shared" ref="I3:I38" si="4">G3/F3</f>
        <v>0.97706257615941516</v>
      </c>
      <c r="J3" s="183">
        <v>12.99</v>
      </c>
      <c r="K3" s="183"/>
      <c r="L3" s="189">
        <f t="shared" ref="L3:L38" si="5">R42</f>
        <v>870.47999999999979</v>
      </c>
      <c r="M3" s="190">
        <v>365</v>
      </c>
      <c r="N3" s="190">
        <f t="shared" ref="N3:N38" si="6">L3/M3</f>
        <v>2.3848767123287664</v>
      </c>
      <c r="O3" s="177"/>
      <c r="P3" s="190">
        <v>17.741452054794522</v>
      </c>
      <c r="Q3" s="177"/>
      <c r="R3" s="183"/>
      <c r="S3" s="177"/>
      <c r="T3" s="177"/>
      <c r="U3" s="177"/>
      <c r="V3" s="177"/>
      <c r="W3" s="177"/>
      <c r="X3" s="177"/>
      <c r="Y3" s="177"/>
      <c r="Z3" s="177"/>
      <c r="AA3" s="177"/>
      <c r="AB3" s="177"/>
      <c r="AC3" s="177"/>
      <c r="AD3" s="177"/>
    </row>
    <row r="4" spans="1:30" ht="12.75" customHeight="1">
      <c r="A4" s="177" t="s">
        <v>175</v>
      </c>
      <c r="B4" s="183">
        <v>40</v>
      </c>
      <c r="C4" s="184">
        <f t="shared" si="0"/>
        <v>1.0035122930255895E-2</v>
      </c>
      <c r="D4" s="185">
        <v>16</v>
      </c>
      <c r="E4" s="186">
        <f t="shared" si="1"/>
        <v>0.16056196688409433</v>
      </c>
      <c r="F4" s="183">
        <v>7</v>
      </c>
      <c r="G4" s="183">
        <f t="shared" si="2"/>
        <v>6.8394380331159059</v>
      </c>
      <c r="H4" s="187">
        <f t="shared" si="3"/>
        <v>42.596875000000004</v>
      </c>
      <c r="I4" s="188">
        <f t="shared" si="4"/>
        <v>0.97706257615941516</v>
      </c>
      <c r="J4" s="183">
        <v>12.99</v>
      </c>
      <c r="K4" s="183"/>
      <c r="L4" s="189">
        <f t="shared" si="5"/>
        <v>870.47999999999979</v>
      </c>
      <c r="M4" s="190">
        <v>365</v>
      </c>
      <c r="N4" s="190">
        <f t="shared" si="6"/>
        <v>2.3848767123287664</v>
      </c>
      <c r="O4" s="177"/>
      <c r="P4" s="190">
        <v>16.491452054794522</v>
      </c>
      <c r="Q4" s="177"/>
      <c r="R4" s="183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177"/>
    </row>
    <row r="5" spans="1:30" ht="12.75" customHeight="1">
      <c r="A5" s="177" t="s">
        <v>176</v>
      </c>
      <c r="B5" s="183">
        <v>85</v>
      </c>
      <c r="C5" s="184">
        <f t="shared" si="0"/>
        <v>2.1324636226793779E-2</v>
      </c>
      <c r="D5" s="185">
        <v>14</v>
      </c>
      <c r="E5" s="186">
        <f t="shared" si="1"/>
        <v>0.29854490717511289</v>
      </c>
      <c r="F5" s="183">
        <v>7.5</v>
      </c>
      <c r="G5" s="183">
        <f t="shared" si="2"/>
        <v>7.2014550928248875</v>
      </c>
      <c r="H5" s="187">
        <f t="shared" si="3"/>
        <v>24.1218487394958</v>
      </c>
      <c r="I5" s="188">
        <f t="shared" si="4"/>
        <v>0.9601940123766517</v>
      </c>
      <c r="J5" s="183">
        <v>16.989999999999998</v>
      </c>
      <c r="K5" s="183"/>
      <c r="L5" s="189">
        <f t="shared" si="5"/>
        <v>867.45749999999998</v>
      </c>
      <c r="M5" s="190">
        <v>365</v>
      </c>
      <c r="N5" s="190">
        <f t="shared" si="6"/>
        <v>2.3765958904109588</v>
      </c>
      <c r="O5" s="177"/>
      <c r="P5" s="190">
        <v>18.713956947162426</v>
      </c>
      <c r="Q5" s="177"/>
      <c r="R5" s="183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</row>
    <row r="6" spans="1:30" ht="12.75" customHeight="1">
      <c r="A6" s="177" t="s">
        <v>177</v>
      </c>
      <c r="B6" s="183">
        <v>130</v>
      </c>
      <c r="C6" s="184">
        <f t="shared" si="0"/>
        <v>3.2614149523331658E-2</v>
      </c>
      <c r="D6" s="185">
        <v>14</v>
      </c>
      <c r="E6" s="186">
        <f t="shared" si="1"/>
        <v>0.4565980933266432</v>
      </c>
      <c r="F6" s="183">
        <v>7.5</v>
      </c>
      <c r="G6" s="183">
        <f t="shared" si="2"/>
        <v>7.0434019066733571</v>
      </c>
      <c r="H6" s="187">
        <f t="shared" si="3"/>
        <v>15.425824175824179</v>
      </c>
      <c r="I6" s="188">
        <f t="shared" si="4"/>
        <v>0.93912025422311429</v>
      </c>
      <c r="J6" s="183">
        <v>16.989999999999998</v>
      </c>
      <c r="K6" s="183"/>
      <c r="L6" s="189">
        <f t="shared" si="5"/>
        <v>822.11999999999989</v>
      </c>
      <c r="M6" s="190">
        <v>365</v>
      </c>
      <c r="N6" s="190">
        <f t="shared" si="6"/>
        <v>2.2523835616438355</v>
      </c>
      <c r="O6" s="177"/>
      <c r="P6" s="190">
        <v>20.417440313111548</v>
      </c>
      <c r="Q6" s="177"/>
      <c r="R6" s="183"/>
      <c r="S6" s="177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</row>
    <row r="7" spans="1:30" ht="12.75" customHeight="1">
      <c r="A7" s="177" t="s">
        <v>178</v>
      </c>
      <c r="B7" s="183">
        <v>45</v>
      </c>
      <c r="C7" s="184">
        <f t="shared" si="0"/>
        <v>1.1289513296537882E-2</v>
      </c>
      <c r="D7" s="185">
        <v>16</v>
      </c>
      <c r="E7" s="186">
        <f t="shared" si="1"/>
        <v>0.18063221274460611</v>
      </c>
      <c r="F7" s="183">
        <v>7</v>
      </c>
      <c r="G7" s="183">
        <f t="shared" si="2"/>
        <v>6.8193677872553939</v>
      </c>
      <c r="H7" s="187">
        <f t="shared" si="3"/>
        <v>37.75277777777778</v>
      </c>
      <c r="I7" s="188">
        <f t="shared" si="4"/>
        <v>0.97419539817934198</v>
      </c>
      <c r="J7" s="183">
        <v>12.99</v>
      </c>
      <c r="K7" s="183"/>
      <c r="L7" s="189">
        <f t="shared" si="5"/>
        <v>0</v>
      </c>
      <c r="M7" s="190">
        <v>365</v>
      </c>
      <c r="N7" s="190">
        <f t="shared" si="6"/>
        <v>0</v>
      </c>
      <c r="O7" s="177"/>
      <c r="P7" s="190">
        <v>14.504054794520549</v>
      </c>
      <c r="Q7" s="177"/>
      <c r="R7" s="183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</row>
    <row r="8" spans="1:30" ht="12.75" customHeight="1">
      <c r="A8" s="177" t="s">
        <v>179</v>
      </c>
      <c r="B8" s="183">
        <v>100</v>
      </c>
      <c r="C8" s="184">
        <f t="shared" si="0"/>
        <v>2.5087807325639738E-2</v>
      </c>
      <c r="D8" s="185">
        <v>12</v>
      </c>
      <c r="E8" s="186">
        <f t="shared" si="1"/>
        <v>0.30105368790767684</v>
      </c>
      <c r="F8" s="183">
        <v>8</v>
      </c>
      <c r="G8" s="183">
        <f t="shared" si="2"/>
        <v>7.6989463120923229</v>
      </c>
      <c r="H8" s="187">
        <f t="shared" si="3"/>
        <v>25.573333333333334</v>
      </c>
      <c r="I8" s="188">
        <f t="shared" si="4"/>
        <v>0.96236828901154037</v>
      </c>
      <c r="J8" s="183">
        <v>14.99</v>
      </c>
      <c r="K8" s="183"/>
      <c r="L8" s="189">
        <f t="shared" si="5"/>
        <v>119.691</v>
      </c>
      <c r="M8" s="177">
        <v>91.25</v>
      </c>
      <c r="N8" s="190">
        <f t="shared" si="6"/>
        <v>1.3116821917808219</v>
      </c>
      <c r="O8" s="177"/>
      <c r="P8" s="190">
        <v>20.702754337899545</v>
      </c>
      <c r="Q8" s="177"/>
      <c r="R8" s="183"/>
      <c r="S8" s="177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</row>
    <row r="9" spans="1:30" ht="12.75" customHeight="1">
      <c r="A9" s="177" t="s">
        <v>180</v>
      </c>
      <c r="B9" s="183">
        <v>85</v>
      </c>
      <c r="C9" s="184">
        <f t="shared" si="0"/>
        <v>2.1324636226793779E-2</v>
      </c>
      <c r="D9" s="185">
        <v>14</v>
      </c>
      <c r="E9" s="186">
        <f t="shared" si="1"/>
        <v>0.29854490717511289</v>
      </c>
      <c r="F9" s="183">
        <v>7.5</v>
      </c>
      <c r="G9" s="183">
        <f t="shared" si="2"/>
        <v>7.2014550928248875</v>
      </c>
      <c r="H9" s="187">
        <f t="shared" si="3"/>
        <v>24.1218487394958</v>
      </c>
      <c r="I9" s="188">
        <f t="shared" si="4"/>
        <v>0.9601940123766517</v>
      </c>
      <c r="J9" s="183">
        <v>14.99</v>
      </c>
      <c r="K9" s="183"/>
      <c r="L9" s="189">
        <f t="shared" si="5"/>
        <v>119.691</v>
      </c>
      <c r="M9" s="177">
        <v>91.25</v>
      </c>
      <c r="N9" s="190">
        <f t="shared" si="6"/>
        <v>1.3116821917808219</v>
      </c>
      <c r="O9" s="177"/>
      <c r="P9" s="190">
        <v>17.745218003913898</v>
      </c>
      <c r="Q9" s="177"/>
      <c r="R9" s="183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</row>
    <row r="10" spans="1:30" ht="12.75" customHeight="1">
      <c r="A10" s="177" t="s">
        <v>181</v>
      </c>
      <c r="B10" s="183">
        <v>90</v>
      </c>
      <c r="C10" s="184">
        <f t="shared" si="0"/>
        <v>2.2579026593075764E-2</v>
      </c>
      <c r="D10" s="185">
        <v>14</v>
      </c>
      <c r="E10" s="186">
        <f t="shared" si="1"/>
        <v>0.31610637230306071</v>
      </c>
      <c r="F10" s="183">
        <v>7.5</v>
      </c>
      <c r="G10" s="183">
        <f t="shared" si="2"/>
        <v>7.1838936276969392</v>
      </c>
      <c r="H10" s="187">
        <f t="shared" si="3"/>
        <v>22.726190476190474</v>
      </c>
      <c r="I10" s="188">
        <f t="shared" si="4"/>
        <v>0.95785248369292519</v>
      </c>
      <c r="J10" s="183">
        <v>16.989999999999998</v>
      </c>
      <c r="K10" s="183"/>
      <c r="L10" s="189">
        <f t="shared" si="5"/>
        <v>239.38200000000001</v>
      </c>
      <c r="M10" s="177">
        <v>91.25</v>
      </c>
      <c r="N10" s="190">
        <f t="shared" si="6"/>
        <v>2.6233643835616438</v>
      </c>
      <c r="O10" s="177"/>
      <c r="P10" s="190">
        <v>11.748956555772995</v>
      </c>
      <c r="Q10" s="177"/>
      <c r="R10" s="183"/>
      <c r="S10" s="177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</row>
    <row r="11" spans="1:30" ht="12.75" customHeight="1">
      <c r="A11" s="177" t="s">
        <v>182</v>
      </c>
      <c r="B11" s="183">
        <v>65</v>
      </c>
      <c r="C11" s="184">
        <f t="shared" si="0"/>
        <v>1.6307074761665829E-2</v>
      </c>
      <c r="D11" s="185">
        <v>12</v>
      </c>
      <c r="E11" s="186">
        <f t="shared" si="1"/>
        <v>0.19568489713998993</v>
      </c>
      <c r="F11" s="183">
        <v>8</v>
      </c>
      <c r="G11" s="183">
        <f t="shared" si="2"/>
        <v>7.8043151028600102</v>
      </c>
      <c r="H11" s="187">
        <f t="shared" si="3"/>
        <v>39.882051282051286</v>
      </c>
      <c r="I11" s="188">
        <f t="shared" si="4"/>
        <v>0.97553938785750127</v>
      </c>
      <c r="J11" s="183">
        <v>21.99</v>
      </c>
      <c r="K11" s="183"/>
      <c r="L11" s="189">
        <f t="shared" si="5"/>
        <v>239.38200000000001</v>
      </c>
      <c r="M11" s="177">
        <v>91.25</v>
      </c>
      <c r="N11" s="190">
        <f t="shared" si="6"/>
        <v>2.6233643835616438</v>
      </c>
      <c r="O11" s="177"/>
      <c r="P11" s="190">
        <v>13.707115981735162</v>
      </c>
      <c r="Q11" s="177"/>
      <c r="R11" s="183"/>
      <c r="S11" s="177"/>
      <c r="T11" s="177"/>
      <c r="U11" s="177"/>
      <c r="V11" s="177"/>
      <c r="W11" s="177"/>
      <c r="X11" s="177"/>
      <c r="Y11" s="177"/>
      <c r="Z11" s="177"/>
      <c r="AA11" s="177"/>
      <c r="AB11" s="177"/>
      <c r="AC11" s="177"/>
      <c r="AD11" s="177"/>
    </row>
    <row r="12" spans="1:30" ht="12.75" customHeight="1">
      <c r="A12" s="177" t="s">
        <v>183</v>
      </c>
      <c r="B12" s="183">
        <v>110</v>
      </c>
      <c r="C12" s="184">
        <f t="shared" si="0"/>
        <v>2.7596588058203714E-2</v>
      </c>
      <c r="D12" s="185">
        <v>14</v>
      </c>
      <c r="E12" s="186">
        <f t="shared" si="1"/>
        <v>0.38635223281485198</v>
      </c>
      <c r="F12" s="183">
        <v>7.5</v>
      </c>
      <c r="G12" s="183">
        <f t="shared" si="2"/>
        <v>7.1136477671851477</v>
      </c>
      <c r="H12" s="187">
        <f t="shared" si="3"/>
        <v>18.412337662337663</v>
      </c>
      <c r="I12" s="188">
        <f t="shared" si="4"/>
        <v>0.94848636895801974</v>
      </c>
      <c r="J12" s="183">
        <v>14.99</v>
      </c>
      <c r="K12" s="183"/>
      <c r="L12" s="189">
        <f t="shared" si="5"/>
        <v>120.96044999999999</v>
      </c>
      <c r="M12" s="177">
        <v>73</v>
      </c>
      <c r="N12" s="190">
        <f t="shared" si="6"/>
        <v>1.6569924657534245</v>
      </c>
      <c r="O12" s="177"/>
      <c r="P12" s="190">
        <v>19.59347475538161</v>
      </c>
      <c r="Q12" s="177"/>
      <c r="R12" s="183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</row>
    <row r="13" spans="1:30" ht="12.75" customHeight="1">
      <c r="A13" s="177" t="s">
        <v>184</v>
      </c>
      <c r="B13" s="183">
        <v>120</v>
      </c>
      <c r="C13" s="184">
        <f t="shared" si="0"/>
        <v>3.0105368790767688E-2</v>
      </c>
      <c r="D13" s="185">
        <v>14</v>
      </c>
      <c r="E13" s="186">
        <f t="shared" si="1"/>
        <v>0.42147516307074762</v>
      </c>
      <c r="F13" s="183">
        <v>7.5</v>
      </c>
      <c r="G13" s="183">
        <f t="shared" si="2"/>
        <v>7.0785248369292528</v>
      </c>
      <c r="H13" s="187">
        <f t="shared" si="3"/>
        <v>16.794642857142858</v>
      </c>
      <c r="I13" s="188">
        <f t="shared" si="4"/>
        <v>0.94380331159056707</v>
      </c>
      <c r="J13" s="183">
        <v>16.989999999999998</v>
      </c>
      <c r="K13" s="183"/>
      <c r="L13" s="189">
        <f t="shared" si="5"/>
        <v>120.96044999999999</v>
      </c>
      <c r="M13" s="177">
        <v>73</v>
      </c>
      <c r="N13" s="190">
        <f t="shared" si="6"/>
        <v>1.6569924657534245</v>
      </c>
      <c r="O13" s="177"/>
      <c r="P13" s="190">
        <v>19.59347475538161</v>
      </c>
      <c r="Q13" s="177"/>
      <c r="R13" s="183"/>
      <c r="S13" s="177"/>
      <c r="T13" s="177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</row>
    <row r="14" spans="1:30" ht="12.75" customHeight="1">
      <c r="A14" s="177" t="s">
        <v>185</v>
      </c>
      <c r="B14" s="183">
        <v>130</v>
      </c>
      <c r="C14" s="184">
        <f t="shared" si="0"/>
        <v>3.2614149523331658E-2</v>
      </c>
      <c r="D14" s="185">
        <v>14</v>
      </c>
      <c r="E14" s="186">
        <f t="shared" si="1"/>
        <v>0.4565980933266432</v>
      </c>
      <c r="F14" s="183">
        <v>7.5</v>
      </c>
      <c r="G14" s="183">
        <f t="shared" si="2"/>
        <v>7.0434019066733571</v>
      </c>
      <c r="H14" s="187">
        <f t="shared" si="3"/>
        <v>15.425824175824179</v>
      </c>
      <c r="I14" s="188">
        <f t="shared" si="4"/>
        <v>0.93912025422311429</v>
      </c>
      <c r="J14" s="183">
        <v>16.989999999999998</v>
      </c>
      <c r="K14" s="183"/>
      <c r="L14" s="189">
        <f t="shared" si="5"/>
        <v>120.96044999999999</v>
      </c>
      <c r="M14" s="177">
        <v>73</v>
      </c>
      <c r="N14" s="190">
        <f t="shared" si="6"/>
        <v>1.6569924657534245</v>
      </c>
      <c r="O14" s="177"/>
      <c r="P14" s="190">
        <v>19.59347475538161</v>
      </c>
      <c r="Q14" s="177"/>
      <c r="R14" s="183"/>
      <c r="S14" s="177"/>
      <c r="T14" s="177"/>
      <c r="U14" s="177"/>
      <c r="V14" s="177"/>
      <c r="W14" s="177"/>
      <c r="X14" s="177"/>
      <c r="Y14" s="177"/>
      <c r="Z14" s="177"/>
      <c r="AA14" s="177"/>
      <c r="AB14" s="177"/>
      <c r="AC14" s="177"/>
      <c r="AD14" s="177"/>
    </row>
    <row r="15" spans="1:30" ht="12.75" customHeight="1">
      <c r="A15" s="177" t="s">
        <v>186</v>
      </c>
      <c r="B15" s="183">
        <v>140</v>
      </c>
      <c r="C15" s="184">
        <f t="shared" si="0"/>
        <v>3.5122930255895635E-2</v>
      </c>
      <c r="D15" s="185">
        <v>14</v>
      </c>
      <c r="E15" s="186">
        <f t="shared" si="1"/>
        <v>0.49172102358253889</v>
      </c>
      <c r="F15" s="183">
        <v>7.5</v>
      </c>
      <c r="G15" s="183">
        <f t="shared" si="2"/>
        <v>7.0082789764174613</v>
      </c>
      <c r="H15" s="187">
        <f t="shared" si="3"/>
        <v>14.252551020408164</v>
      </c>
      <c r="I15" s="188">
        <f t="shared" si="4"/>
        <v>0.93443719685566151</v>
      </c>
      <c r="J15" s="183">
        <v>16.989999999999998</v>
      </c>
      <c r="K15" s="183"/>
      <c r="L15" s="189">
        <f t="shared" si="5"/>
        <v>120.96044999999999</v>
      </c>
      <c r="M15" s="177">
        <v>73</v>
      </c>
      <c r="N15" s="190">
        <f t="shared" si="6"/>
        <v>1.6569924657534245</v>
      </c>
      <c r="O15" s="177"/>
      <c r="P15" s="190">
        <v>19.59347475538161</v>
      </c>
      <c r="Q15" s="177"/>
      <c r="R15" s="183"/>
      <c r="S15" s="177"/>
      <c r="T15" s="177"/>
      <c r="U15" s="177"/>
      <c r="V15" s="177"/>
      <c r="W15" s="177"/>
      <c r="X15" s="177"/>
      <c r="Y15" s="177"/>
      <c r="Z15" s="177"/>
      <c r="AA15" s="177"/>
      <c r="AB15" s="177"/>
      <c r="AC15" s="177"/>
      <c r="AD15" s="177"/>
    </row>
    <row r="16" spans="1:30" ht="12.75" customHeight="1">
      <c r="A16" s="177" t="s">
        <v>187</v>
      </c>
      <c r="B16" s="183">
        <v>150</v>
      </c>
      <c r="C16" s="184">
        <f t="shared" si="0"/>
        <v>3.7631710988459612E-2</v>
      </c>
      <c r="D16" s="185">
        <v>14</v>
      </c>
      <c r="E16" s="186">
        <f t="shared" si="1"/>
        <v>0.52684395383843452</v>
      </c>
      <c r="F16" s="183">
        <v>7.5</v>
      </c>
      <c r="G16" s="183">
        <f t="shared" si="2"/>
        <v>6.9731560461615656</v>
      </c>
      <c r="H16" s="187">
        <f t="shared" si="3"/>
        <v>13.235714285714286</v>
      </c>
      <c r="I16" s="188">
        <f t="shared" si="4"/>
        <v>0.92975413948820873</v>
      </c>
      <c r="J16" s="183">
        <v>18.989999999999998</v>
      </c>
      <c r="K16" s="183"/>
      <c r="L16" s="189">
        <f t="shared" si="5"/>
        <v>178.81109999999998</v>
      </c>
      <c r="M16" s="177">
        <v>73</v>
      </c>
      <c r="N16" s="190">
        <f t="shared" si="6"/>
        <v>2.449467123287671</v>
      </c>
      <c r="O16" s="177"/>
      <c r="P16" s="190">
        <v>15.970733463796478</v>
      </c>
      <c r="Q16" s="177"/>
      <c r="R16" s="183"/>
      <c r="S16" s="177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</row>
    <row r="17" spans="1:30" ht="12.75" customHeight="1">
      <c r="A17" s="177" t="s">
        <v>188</v>
      </c>
      <c r="B17" s="183">
        <v>105</v>
      </c>
      <c r="C17" s="184">
        <f t="shared" si="0"/>
        <v>2.6342197691921726E-2</v>
      </c>
      <c r="D17" s="185">
        <v>14</v>
      </c>
      <c r="E17" s="186">
        <f t="shared" si="1"/>
        <v>0.36879076768690416</v>
      </c>
      <c r="F17" s="183">
        <v>7.5</v>
      </c>
      <c r="G17" s="183">
        <f t="shared" si="2"/>
        <v>7.131209232313096</v>
      </c>
      <c r="H17" s="187">
        <f t="shared" si="3"/>
        <v>19.336734693877553</v>
      </c>
      <c r="I17" s="188">
        <f t="shared" si="4"/>
        <v>0.95082789764174613</v>
      </c>
      <c r="J17" s="183">
        <v>14.99</v>
      </c>
      <c r="K17" s="183"/>
      <c r="L17" s="189">
        <f t="shared" si="5"/>
        <v>120.748875</v>
      </c>
      <c r="M17" s="177">
        <v>45.625</v>
      </c>
      <c r="N17" s="190">
        <f t="shared" si="6"/>
        <v>2.646550684931507</v>
      </c>
      <c r="O17" s="177"/>
      <c r="P17" s="190">
        <v>35.761678277886496</v>
      </c>
      <c r="Q17" s="177"/>
      <c r="R17" s="183"/>
      <c r="S17" s="177"/>
      <c r="T17" s="177"/>
      <c r="U17" s="177"/>
      <c r="V17" s="177"/>
      <c r="W17" s="177"/>
      <c r="X17" s="177"/>
      <c r="Y17" s="177"/>
      <c r="Z17" s="177"/>
      <c r="AA17" s="177"/>
      <c r="AB17" s="177"/>
      <c r="AC17" s="177"/>
      <c r="AD17" s="177"/>
    </row>
    <row r="18" spans="1:30" ht="12.75" customHeight="1">
      <c r="A18" s="177" t="s">
        <v>189</v>
      </c>
      <c r="B18" s="183">
        <v>110</v>
      </c>
      <c r="C18" s="184">
        <f t="shared" si="0"/>
        <v>2.7596588058203714E-2</v>
      </c>
      <c r="D18" s="185">
        <v>14</v>
      </c>
      <c r="E18" s="186">
        <f t="shared" si="1"/>
        <v>0.38635223281485198</v>
      </c>
      <c r="F18" s="183">
        <v>7.5</v>
      </c>
      <c r="G18" s="183">
        <f t="shared" si="2"/>
        <v>7.1136477671851477</v>
      </c>
      <c r="H18" s="187">
        <f t="shared" si="3"/>
        <v>18.412337662337663</v>
      </c>
      <c r="I18" s="188">
        <f t="shared" si="4"/>
        <v>0.94848636895801974</v>
      </c>
      <c r="J18" s="183">
        <v>14.99</v>
      </c>
      <c r="K18" s="183"/>
      <c r="L18" s="189">
        <f t="shared" si="5"/>
        <v>120.748875</v>
      </c>
      <c r="M18" s="177">
        <v>45.625</v>
      </c>
      <c r="N18" s="190">
        <f t="shared" si="6"/>
        <v>2.646550684931507</v>
      </c>
      <c r="O18" s="177"/>
      <c r="P18" s="190">
        <v>35.761678277886496</v>
      </c>
      <c r="Q18" s="177"/>
      <c r="R18" s="183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</row>
    <row r="19" spans="1:30" ht="12.75" customHeight="1">
      <c r="A19" s="177" t="s">
        <v>190</v>
      </c>
      <c r="B19" s="183">
        <v>120</v>
      </c>
      <c r="C19" s="184">
        <f t="shared" si="0"/>
        <v>3.0105368790767688E-2</v>
      </c>
      <c r="D19" s="185">
        <v>14</v>
      </c>
      <c r="E19" s="186">
        <f t="shared" si="1"/>
        <v>0.42147516307074762</v>
      </c>
      <c r="F19" s="183">
        <v>7.5</v>
      </c>
      <c r="G19" s="183">
        <f t="shared" si="2"/>
        <v>7.0785248369292528</v>
      </c>
      <c r="H19" s="187">
        <f t="shared" si="3"/>
        <v>16.794642857142858</v>
      </c>
      <c r="I19" s="188">
        <f t="shared" si="4"/>
        <v>0.94380331159056707</v>
      </c>
      <c r="J19" s="183">
        <v>16.989999999999998</v>
      </c>
      <c r="K19" s="183"/>
      <c r="L19" s="189">
        <f t="shared" si="5"/>
        <v>120.748875</v>
      </c>
      <c r="M19" s="177">
        <v>45.625</v>
      </c>
      <c r="N19" s="190">
        <f t="shared" si="6"/>
        <v>2.646550684931507</v>
      </c>
      <c r="O19" s="177"/>
      <c r="P19" s="190">
        <v>35.761678277886496</v>
      </c>
      <c r="Q19" s="177"/>
      <c r="R19" s="183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</row>
    <row r="20" spans="1:30" ht="12.75" customHeight="1">
      <c r="A20" s="177" t="s">
        <v>191</v>
      </c>
      <c r="B20" s="183">
        <v>130</v>
      </c>
      <c r="C20" s="184">
        <f t="shared" si="0"/>
        <v>3.2614149523331658E-2</v>
      </c>
      <c r="D20" s="185">
        <v>14</v>
      </c>
      <c r="E20" s="186">
        <f t="shared" si="1"/>
        <v>0.4565980933266432</v>
      </c>
      <c r="F20" s="183">
        <v>7.5</v>
      </c>
      <c r="G20" s="183">
        <f t="shared" si="2"/>
        <v>7.0434019066733571</v>
      </c>
      <c r="H20" s="187">
        <f t="shared" si="3"/>
        <v>15.425824175824179</v>
      </c>
      <c r="I20" s="188">
        <f t="shared" si="4"/>
        <v>0.93912025422311429</v>
      </c>
      <c r="J20" s="183">
        <v>16.989999999999998</v>
      </c>
      <c r="K20" s="183"/>
      <c r="L20" s="189">
        <f t="shared" si="5"/>
        <v>120.748875</v>
      </c>
      <c r="M20" s="177">
        <v>45.625</v>
      </c>
      <c r="N20" s="190">
        <f t="shared" si="6"/>
        <v>2.646550684931507</v>
      </c>
      <c r="O20" s="177"/>
      <c r="P20" s="190">
        <v>35.761678277886496</v>
      </c>
      <c r="Q20" s="177"/>
      <c r="R20" s="183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</row>
    <row r="21" spans="1:30" ht="12.75" customHeight="1">
      <c r="A21" s="177" t="s">
        <v>192</v>
      </c>
      <c r="B21" s="183">
        <v>140</v>
      </c>
      <c r="C21" s="184">
        <f t="shared" si="0"/>
        <v>3.5122930255895635E-2</v>
      </c>
      <c r="D21" s="185">
        <v>14</v>
      </c>
      <c r="E21" s="186">
        <f t="shared" si="1"/>
        <v>0.49172102358253889</v>
      </c>
      <c r="F21" s="183">
        <v>7.5</v>
      </c>
      <c r="G21" s="183">
        <f t="shared" si="2"/>
        <v>7.0082789764174613</v>
      </c>
      <c r="H21" s="187">
        <f t="shared" si="3"/>
        <v>14.252551020408164</v>
      </c>
      <c r="I21" s="188">
        <f t="shared" si="4"/>
        <v>0.93443719685566151</v>
      </c>
      <c r="J21" s="183">
        <v>18.989999999999998</v>
      </c>
      <c r="K21" s="183"/>
      <c r="L21" s="189">
        <f t="shared" si="5"/>
        <v>120.748875</v>
      </c>
      <c r="M21" s="177">
        <v>45.625</v>
      </c>
      <c r="N21" s="190">
        <f t="shared" si="6"/>
        <v>2.646550684931507</v>
      </c>
      <c r="O21" s="177"/>
      <c r="P21" s="190">
        <v>35.761678277886496</v>
      </c>
      <c r="Q21" s="177"/>
      <c r="R21" s="183"/>
      <c r="S21" s="177"/>
      <c r="T21" s="177"/>
      <c r="U21" s="177"/>
      <c r="V21" s="177"/>
      <c r="W21" s="177"/>
      <c r="X21" s="177"/>
      <c r="Y21" s="177"/>
      <c r="Z21" s="177"/>
      <c r="AA21" s="177"/>
      <c r="AB21" s="177"/>
      <c r="AC21" s="177"/>
      <c r="AD21" s="177"/>
    </row>
    <row r="22" spans="1:30" ht="12.75" customHeight="1">
      <c r="A22" s="177" t="s">
        <v>193</v>
      </c>
      <c r="B22" s="183">
        <v>150</v>
      </c>
      <c r="C22" s="184">
        <f t="shared" si="0"/>
        <v>3.7631710988459612E-2</v>
      </c>
      <c r="D22" s="185">
        <v>14</v>
      </c>
      <c r="E22" s="186">
        <f t="shared" si="1"/>
        <v>0.52684395383843452</v>
      </c>
      <c r="F22" s="183">
        <v>8</v>
      </c>
      <c r="G22" s="183">
        <f t="shared" si="2"/>
        <v>7.4731560461615656</v>
      </c>
      <c r="H22" s="187">
        <f t="shared" si="3"/>
        <v>14.184761904761904</v>
      </c>
      <c r="I22" s="188">
        <f t="shared" si="4"/>
        <v>0.9341445057701957</v>
      </c>
      <c r="J22" s="183">
        <v>21.99</v>
      </c>
      <c r="K22" s="183"/>
      <c r="L22" s="189">
        <f t="shared" si="5"/>
        <v>120.748875</v>
      </c>
      <c r="M22" s="177">
        <v>45.625</v>
      </c>
      <c r="N22" s="190">
        <f t="shared" si="6"/>
        <v>2.646550684931507</v>
      </c>
      <c r="O22" s="177"/>
      <c r="P22" s="190">
        <v>35.761678277886496</v>
      </c>
      <c r="Q22" s="177"/>
      <c r="R22" s="183"/>
      <c r="S22" s="177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</row>
    <row r="23" spans="1:30" ht="12.75" customHeight="1">
      <c r="A23" s="177" t="s">
        <v>194</v>
      </c>
      <c r="B23" s="183">
        <v>150</v>
      </c>
      <c r="C23" s="184">
        <f t="shared" si="0"/>
        <v>3.7631710988459612E-2</v>
      </c>
      <c r="D23" s="185">
        <v>14</v>
      </c>
      <c r="E23" s="186">
        <f t="shared" si="1"/>
        <v>0.52684395383843452</v>
      </c>
      <c r="F23" s="183">
        <v>8</v>
      </c>
      <c r="G23" s="183">
        <f t="shared" si="2"/>
        <v>7.4731560461615656</v>
      </c>
      <c r="H23" s="187">
        <f t="shared" si="3"/>
        <v>14.184761904761904</v>
      </c>
      <c r="I23" s="188">
        <f t="shared" si="4"/>
        <v>0.9341445057701957</v>
      </c>
      <c r="J23" s="183">
        <v>21.99</v>
      </c>
      <c r="K23" s="183"/>
      <c r="L23" s="189">
        <f t="shared" si="5"/>
        <v>179.83874999999998</v>
      </c>
      <c r="M23" s="177">
        <v>45.625</v>
      </c>
      <c r="N23" s="190">
        <f t="shared" si="6"/>
        <v>3.9416712328767116</v>
      </c>
      <c r="O23" s="177"/>
      <c r="P23" s="190">
        <v>29.841127201565559</v>
      </c>
      <c r="Q23" s="177"/>
      <c r="R23" s="183"/>
      <c r="S23" s="177"/>
      <c r="T23" s="177"/>
      <c r="U23" s="177"/>
      <c r="V23" s="177"/>
      <c r="W23" s="177"/>
      <c r="X23" s="177"/>
      <c r="Y23" s="177"/>
      <c r="Z23" s="177"/>
      <c r="AA23" s="177"/>
      <c r="AB23" s="177"/>
      <c r="AC23" s="177"/>
      <c r="AD23" s="177"/>
    </row>
    <row r="24" spans="1:30" ht="12.75" customHeight="1">
      <c r="A24" s="177" t="s">
        <v>195</v>
      </c>
      <c r="B24" s="183">
        <v>150</v>
      </c>
      <c r="C24" s="184">
        <f t="shared" si="0"/>
        <v>3.7631710988459612E-2</v>
      </c>
      <c r="D24" s="185">
        <v>14</v>
      </c>
      <c r="E24" s="186">
        <f t="shared" si="1"/>
        <v>0.52684395383843452</v>
      </c>
      <c r="F24" s="183">
        <v>8</v>
      </c>
      <c r="G24" s="183">
        <f t="shared" si="2"/>
        <v>7.4731560461615656</v>
      </c>
      <c r="H24" s="187">
        <f t="shared" si="3"/>
        <v>14.184761904761904</v>
      </c>
      <c r="I24" s="188">
        <f t="shared" si="4"/>
        <v>0.9341445057701957</v>
      </c>
      <c r="J24" s="183">
        <v>21.99</v>
      </c>
      <c r="K24" s="183"/>
      <c r="L24" s="189">
        <f t="shared" si="5"/>
        <v>179.83874999999998</v>
      </c>
      <c r="M24" s="177">
        <v>45.625</v>
      </c>
      <c r="N24" s="190">
        <f t="shared" si="6"/>
        <v>3.9416712328767116</v>
      </c>
      <c r="O24" s="177"/>
      <c r="P24" s="190">
        <v>29.841127201565559</v>
      </c>
      <c r="Q24" s="177"/>
      <c r="R24" s="183"/>
      <c r="S24" s="177"/>
      <c r="T24" s="177"/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</row>
    <row r="25" spans="1:30" ht="12.75" customHeight="1">
      <c r="A25" s="177" t="s">
        <v>196</v>
      </c>
      <c r="B25" s="183">
        <v>140</v>
      </c>
      <c r="C25" s="184">
        <f t="shared" si="0"/>
        <v>3.5122930255895635E-2</v>
      </c>
      <c r="D25" s="185">
        <v>12</v>
      </c>
      <c r="E25" s="186">
        <f t="shared" si="1"/>
        <v>0.42147516307074762</v>
      </c>
      <c r="F25" s="183">
        <v>8.5</v>
      </c>
      <c r="G25" s="183">
        <f t="shared" si="2"/>
        <v>8.0785248369292528</v>
      </c>
      <c r="H25" s="187">
        <f t="shared" si="3"/>
        <v>19.167261904761904</v>
      </c>
      <c r="I25" s="188">
        <f t="shared" si="4"/>
        <v>0.95041468669755913</v>
      </c>
      <c r="J25" s="183">
        <v>18.989999999999998</v>
      </c>
      <c r="K25" s="183"/>
      <c r="L25" s="189">
        <f t="shared" si="5"/>
        <v>178.93200000000002</v>
      </c>
      <c r="M25" s="177">
        <v>91.25</v>
      </c>
      <c r="N25" s="190">
        <f t="shared" si="6"/>
        <v>1.9608986301369864</v>
      </c>
      <c r="O25" s="177"/>
      <c r="P25" s="190">
        <v>9.4137461187214608</v>
      </c>
      <c r="Q25" s="177"/>
      <c r="R25" s="183"/>
      <c r="S25" s="177"/>
      <c r="T25" s="177"/>
      <c r="U25" s="177"/>
      <c r="V25" s="177"/>
      <c r="W25" s="177"/>
      <c r="X25" s="177"/>
      <c r="Y25" s="177"/>
      <c r="Z25" s="177"/>
      <c r="AA25" s="177"/>
      <c r="AB25" s="177"/>
      <c r="AC25" s="177"/>
      <c r="AD25" s="177"/>
    </row>
    <row r="26" spans="1:30" ht="12.75" customHeight="1">
      <c r="A26" s="177" t="s">
        <v>197</v>
      </c>
      <c r="B26" s="183">
        <v>150</v>
      </c>
      <c r="C26" s="184">
        <f t="shared" si="0"/>
        <v>3.7631710988459612E-2</v>
      </c>
      <c r="D26" s="185">
        <v>12</v>
      </c>
      <c r="E26" s="186">
        <f t="shared" si="1"/>
        <v>0.45158053186151537</v>
      </c>
      <c r="F26" s="183">
        <v>8.5</v>
      </c>
      <c r="G26" s="183">
        <f t="shared" si="2"/>
        <v>8.0484194681384853</v>
      </c>
      <c r="H26" s="187">
        <f t="shared" si="3"/>
        <v>17.822777777777777</v>
      </c>
      <c r="I26" s="188">
        <f t="shared" si="4"/>
        <v>0.94687287860452773</v>
      </c>
      <c r="J26" s="183">
        <v>21.99</v>
      </c>
      <c r="K26" s="183"/>
      <c r="L26" s="189">
        <f t="shared" si="5"/>
        <v>178.93200000000002</v>
      </c>
      <c r="M26" s="177">
        <v>91.25</v>
      </c>
      <c r="N26" s="190">
        <f t="shared" si="6"/>
        <v>1.9608986301369864</v>
      </c>
      <c r="O26" s="177"/>
      <c r="P26" s="190">
        <v>9.4137461187214608</v>
      </c>
      <c r="Q26" s="177"/>
      <c r="R26" s="183"/>
      <c r="S26" s="177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</row>
    <row r="27" spans="1:30" ht="12.75" customHeight="1">
      <c r="A27" s="177" t="s">
        <v>198</v>
      </c>
      <c r="B27" s="183">
        <v>160</v>
      </c>
      <c r="C27" s="184">
        <f t="shared" si="0"/>
        <v>4.0140491721023581E-2</v>
      </c>
      <c r="D27" s="185">
        <v>12</v>
      </c>
      <c r="E27" s="186">
        <f t="shared" si="1"/>
        <v>0.48168590065228301</v>
      </c>
      <c r="F27" s="183">
        <v>8.5</v>
      </c>
      <c r="G27" s="183">
        <f t="shared" si="2"/>
        <v>8.0183140993477178</v>
      </c>
      <c r="H27" s="187">
        <f t="shared" si="3"/>
        <v>16.646354166666669</v>
      </c>
      <c r="I27" s="188">
        <f t="shared" si="4"/>
        <v>0.94333107051149623</v>
      </c>
      <c r="J27" s="183">
        <v>21.99</v>
      </c>
      <c r="K27" s="183"/>
      <c r="L27" s="189">
        <f t="shared" si="5"/>
        <v>178.93200000000002</v>
      </c>
      <c r="M27" s="177">
        <v>91.25</v>
      </c>
      <c r="N27" s="190">
        <f t="shared" si="6"/>
        <v>1.9608986301369864</v>
      </c>
      <c r="O27" s="177"/>
      <c r="P27" s="190">
        <v>9.4137461187214608</v>
      </c>
      <c r="Q27" s="177"/>
      <c r="R27" s="183"/>
      <c r="S27" s="177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</row>
    <row r="28" spans="1:30" ht="12.75" customHeight="1">
      <c r="A28" s="177" t="s">
        <v>199</v>
      </c>
      <c r="B28" s="183">
        <v>170</v>
      </c>
      <c r="C28" s="184">
        <f t="shared" si="0"/>
        <v>4.2649272453587558E-2</v>
      </c>
      <c r="D28" s="185">
        <v>12</v>
      </c>
      <c r="E28" s="186">
        <f t="shared" si="1"/>
        <v>0.51179126944305064</v>
      </c>
      <c r="F28" s="183">
        <v>8.5</v>
      </c>
      <c r="G28" s="183">
        <f t="shared" si="2"/>
        <v>7.9882087305569494</v>
      </c>
      <c r="H28" s="187">
        <f t="shared" si="3"/>
        <v>15.608333333333334</v>
      </c>
      <c r="I28" s="188">
        <f t="shared" si="4"/>
        <v>0.93978926241846461</v>
      </c>
      <c r="J28" s="183">
        <v>23.99</v>
      </c>
      <c r="K28" s="183"/>
      <c r="L28" s="189">
        <f t="shared" si="5"/>
        <v>178.93200000000002</v>
      </c>
      <c r="M28" s="177">
        <v>91.25</v>
      </c>
      <c r="N28" s="190">
        <f t="shared" si="6"/>
        <v>1.9608986301369864</v>
      </c>
      <c r="O28" s="177"/>
      <c r="P28" s="190">
        <v>9.4137461187214608</v>
      </c>
      <c r="Q28" s="177"/>
      <c r="R28" s="183"/>
      <c r="S28" s="177"/>
      <c r="T28" s="177"/>
      <c r="U28" s="177"/>
      <c r="V28" s="177"/>
      <c r="W28" s="177"/>
      <c r="X28" s="177"/>
      <c r="Y28" s="177"/>
      <c r="Z28" s="177"/>
      <c r="AA28" s="177"/>
      <c r="AB28" s="177"/>
      <c r="AC28" s="177"/>
      <c r="AD28" s="177"/>
    </row>
    <row r="29" spans="1:30" ht="12.75" customHeight="1">
      <c r="A29" s="177" t="s">
        <v>200</v>
      </c>
      <c r="B29" s="183">
        <v>75</v>
      </c>
      <c r="C29" s="184">
        <f t="shared" si="0"/>
        <v>1.8815855494229806E-2</v>
      </c>
      <c r="D29" s="185">
        <v>16</v>
      </c>
      <c r="E29" s="186">
        <f t="shared" si="1"/>
        <v>0.30105368790767689</v>
      </c>
      <c r="F29" s="183">
        <v>7</v>
      </c>
      <c r="G29" s="183">
        <f t="shared" si="2"/>
        <v>6.6989463120923229</v>
      </c>
      <c r="H29" s="187">
        <f t="shared" si="3"/>
        <v>22.251666666666665</v>
      </c>
      <c r="I29" s="188">
        <f t="shared" si="4"/>
        <v>0.95699233029890329</v>
      </c>
      <c r="J29" s="183">
        <v>12.99</v>
      </c>
      <c r="K29" s="183"/>
      <c r="L29" s="189">
        <f t="shared" si="5"/>
        <v>119.691</v>
      </c>
      <c r="M29" s="177">
        <v>91.25</v>
      </c>
      <c r="N29" s="190">
        <f t="shared" si="6"/>
        <v>1.3116821917808219</v>
      </c>
      <c r="O29" s="177"/>
      <c r="P29" s="190">
        <v>16.682038356164384</v>
      </c>
      <c r="Q29" s="177"/>
      <c r="R29" s="183"/>
      <c r="S29" s="177"/>
      <c r="T29" s="177"/>
      <c r="U29" s="177"/>
      <c r="V29" s="177"/>
      <c r="W29" s="177"/>
      <c r="X29" s="177"/>
      <c r="Y29" s="177"/>
      <c r="Z29" s="177"/>
      <c r="AA29" s="177"/>
      <c r="AB29" s="177"/>
      <c r="AC29" s="177"/>
      <c r="AD29" s="177"/>
    </row>
    <row r="30" spans="1:30" ht="12.75" customHeight="1">
      <c r="A30" s="177" t="s">
        <v>201</v>
      </c>
      <c r="B30" s="183">
        <v>80</v>
      </c>
      <c r="C30" s="184">
        <f t="shared" si="0"/>
        <v>2.0070245860511791E-2</v>
      </c>
      <c r="D30" s="185">
        <v>16</v>
      </c>
      <c r="E30" s="186">
        <f t="shared" si="1"/>
        <v>0.32112393376818865</v>
      </c>
      <c r="F30" s="183">
        <v>7</v>
      </c>
      <c r="G30" s="183">
        <f t="shared" si="2"/>
        <v>6.678876066231811</v>
      </c>
      <c r="H30" s="187">
        <f t="shared" si="3"/>
        <v>20.798437499999999</v>
      </c>
      <c r="I30" s="188">
        <f t="shared" si="4"/>
        <v>0.95412515231883011</v>
      </c>
      <c r="J30" s="183">
        <v>12.99</v>
      </c>
      <c r="K30" s="183"/>
      <c r="L30" s="189">
        <f t="shared" si="5"/>
        <v>119.691</v>
      </c>
      <c r="M30" s="177">
        <v>91.25</v>
      </c>
      <c r="N30" s="190">
        <f t="shared" si="6"/>
        <v>1.3116821917808219</v>
      </c>
      <c r="O30" s="177"/>
      <c r="P30" s="190">
        <v>16.682038356164384</v>
      </c>
      <c r="Q30" s="177"/>
      <c r="R30" s="183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</row>
    <row r="31" spans="1:30" ht="12.75" customHeight="1">
      <c r="A31" s="177" t="s">
        <v>202</v>
      </c>
      <c r="B31" s="183">
        <v>75</v>
      </c>
      <c r="C31" s="184">
        <f t="shared" si="0"/>
        <v>1.8815855494229806E-2</v>
      </c>
      <c r="D31" s="185">
        <v>16</v>
      </c>
      <c r="E31" s="186">
        <f t="shared" si="1"/>
        <v>0.30105368790767689</v>
      </c>
      <c r="F31" s="183">
        <v>7</v>
      </c>
      <c r="G31" s="183">
        <f t="shared" si="2"/>
        <v>6.6989463120923229</v>
      </c>
      <c r="H31" s="187">
        <f t="shared" si="3"/>
        <v>22.251666666666665</v>
      </c>
      <c r="I31" s="188">
        <f t="shared" si="4"/>
        <v>0.95699233029890329</v>
      </c>
      <c r="J31" s="183">
        <v>14.99</v>
      </c>
      <c r="K31" s="183"/>
      <c r="L31" s="189">
        <f t="shared" si="5"/>
        <v>119.691</v>
      </c>
      <c r="M31" s="177">
        <v>91.25</v>
      </c>
      <c r="N31" s="190">
        <f t="shared" si="6"/>
        <v>1.3116821917808219</v>
      </c>
      <c r="O31" s="177"/>
      <c r="P31" s="190">
        <v>16.682038356164384</v>
      </c>
      <c r="Q31" s="177"/>
      <c r="R31" s="183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</row>
    <row r="32" spans="1:30" ht="12.75" customHeight="1">
      <c r="A32" s="177" t="s">
        <v>203</v>
      </c>
      <c r="B32" s="183">
        <v>90</v>
      </c>
      <c r="C32" s="184">
        <f t="shared" si="0"/>
        <v>2.2579026593075764E-2</v>
      </c>
      <c r="D32" s="185">
        <v>14</v>
      </c>
      <c r="E32" s="186">
        <f t="shared" si="1"/>
        <v>0.31610637230306071</v>
      </c>
      <c r="F32" s="183">
        <v>8</v>
      </c>
      <c r="G32" s="183">
        <f t="shared" si="2"/>
        <v>7.6838936276969392</v>
      </c>
      <c r="H32" s="187">
        <f t="shared" si="3"/>
        <v>24.307936507936507</v>
      </c>
      <c r="I32" s="188">
        <f t="shared" si="4"/>
        <v>0.9604867034621174</v>
      </c>
      <c r="J32" s="183">
        <v>14.99</v>
      </c>
      <c r="K32" s="183"/>
      <c r="L32" s="189">
        <f t="shared" si="5"/>
        <v>179.53649999999999</v>
      </c>
      <c r="M32" s="177">
        <v>91.25</v>
      </c>
      <c r="N32" s="190">
        <f t="shared" si="6"/>
        <v>1.9675232876712327</v>
      </c>
      <c r="O32" s="177"/>
      <c r="P32" s="190">
        <v>16.067055968688845</v>
      </c>
      <c r="Q32" s="177"/>
      <c r="R32" s="183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</row>
    <row r="33" spans="1:30" ht="12.75" customHeight="1">
      <c r="A33" s="177" t="s">
        <v>204</v>
      </c>
      <c r="B33" s="183">
        <v>80</v>
      </c>
      <c r="C33" s="184">
        <f t="shared" si="0"/>
        <v>2.0070245860511791E-2</v>
      </c>
      <c r="D33" s="185">
        <v>14</v>
      </c>
      <c r="E33" s="186">
        <f t="shared" si="1"/>
        <v>0.28098344204716508</v>
      </c>
      <c r="F33" s="183">
        <v>7.5</v>
      </c>
      <c r="G33" s="183">
        <f t="shared" si="2"/>
        <v>7.2190165579528349</v>
      </c>
      <c r="H33" s="187">
        <f t="shared" si="3"/>
        <v>25.691964285714285</v>
      </c>
      <c r="I33" s="188">
        <f t="shared" si="4"/>
        <v>0.96253554106037797</v>
      </c>
      <c r="J33" s="183">
        <v>18.989999999999998</v>
      </c>
      <c r="K33" s="183"/>
      <c r="L33" s="189">
        <f t="shared" si="5"/>
        <v>241.92089999999999</v>
      </c>
      <c r="M33" s="177">
        <v>90</v>
      </c>
      <c r="N33" s="190">
        <f t="shared" si="6"/>
        <v>2.6880099999999998</v>
      </c>
      <c r="O33" s="177"/>
      <c r="P33" s="190">
        <v>12.945097142857147</v>
      </c>
      <c r="Q33" s="177"/>
      <c r="R33" s="183"/>
      <c r="S33" s="177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</row>
    <row r="34" spans="1:30" ht="12.75" customHeight="1">
      <c r="A34" s="177" t="s">
        <v>205</v>
      </c>
      <c r="B34" s="183">
        <v>120</v>
      </c>
      <c r="C34" s="184">
        <f t="shared" si="0"/>
        <v>3.0105368790767688E-2</v>
      </c>
      <c r="D34" s="185">
        <v>14</v>
      </c>
      <c r="E34" s="186">
        <f t="shared" si="1"/>
        <v>0.42147516307074762</v>
      </c>
      <c r="F34" s="183">
        <v>8</v>
      </c>
      <c r="G34" s="183">
        <f t="shared" si="2"/>
        <v>7.5785248369292528</v>
      </c>
      <c r="H34" s="187">
        <f t="shared" si="3"/>
        <v>17.980952380952381</v>
      </c>
      <c r="I34" s="188">
        <f t="shared" si="4"/>
        <v>0.9473156046161566</v>
      </c>
      <c r="J34" s="183">
        <v>18.989999999999998</v>
      </c>
      <c r="K34" s="183"/>
      <c r="L34" s="189">
        <f t="shared" si="5"/>
        <v>241.92089999999999</v>
      </c>
      <c r="M34" s="177">
        <v>60</v>
      </c>
      <c r="N34" s="190">
        <f t="shared" si="6"/>
        <v>4.0320149999999995</v>
      </c>
      <c r="O34" s="177"/>
      <c r="P34" s="190">
        <v>20.157645714285717</v>
      </c>
      <c r="Q34" s="177"/>
      <c r="R34" s="183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</row>
    <row r="35" spans="1:30" ht="12.75" customHeight="1">
      <c r="A35" s="177" t="s">
        <v>206</v>
      </c>
      <c r="B35" s="183">
        <v>150</v>
      </c>
      <c r="C35" s="184">
        <f t="shared" si="0"/>
        <v>3.7631710988459612E-2</v>
      </c>
      <c r="D35" s="185">
        <v>14</v>
      </c>
      <c r="E35" s="186">
        <f t="shared" si="1"/>
        <v>0.52684395383843452</v>
      </c>
      <c r="F35" s="183">
        <v>8</v>
      </c>
      <c r="G35" s="183">
        <f t="shared" si="2"/>
        <v>7.4731560461615656</v>
      </c>
      <c r="H35" s="187">
        <f t="shared" si="3"/>
        <v>14.184761904761904</v>
      </c>
      <c r="I35" s="188">
        <f t="shared" si="4"/>
        <v>0.9341445057701957</v>
      </c>
      <c r="J35" s="183">
        <v>21.99</v>
      </c>
      <c r="K35" s="183"/>
      <c r="L35" s="189">
        <f t="shared" si="5"/>
        <v>1160.6399999999999</v>
      </c>
      <c r="M35" s="177">
        <v>91.25</v>
      </c>
      <c r="N35" s="191">
        <f t="shared" si="6"/>
        <v>12.719342465753423</v>
      </c>
      <c r="O35" s="177"/>
      <c r="P35" s="190">
        <v>34.426567514677103</v>
      </c>
      <c r="Q35" s="177"/>
      <c r="R35" s="183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</row>
    <row r="36" spans="1:30" ht="12.75" customHeight="1">
      <c r="A36" s="177" t="s">
        <v>207</v>
      </c>
      <c r="B36" s="183">
        <v>150</v>
      </c>
      <c r="C36" s="184">
        <f t="shared" si="0"/>
        <v>3.7631710988459612E-2</v>
      </c>
      <c r="D36" s="185">
        <v>14</v>
      </c>
      <c r="E36" s="186">
        <f t="shared" si="1"/>
        <v>0.52684395383843452</v>
      </c>
      <c r="F36" s="183">
        <v>8</v>
      </c>
      <c r="G36" s="183">
        <f t="shared" si="2"/>
        <v>7.4731560461615656</v>
      </c>
      <c r="H36" s="187">
        <f t="shared" si="3"/>
        <v>14.184761904761904</v>
      </c>
      <c r="I36" s="188">
        <f t="shared" si="4"/>
        <v>0.9341445057701957</v>
      </c>
      <c r="J36" s="183">
        <v>21.99</v>
      </c>
      <c r="K36" s="183"/>
      <c r="L36" s="189">
        <f t="shared" si="5"/>
        <v>580.31999999999994</v>
      </c>
      <c r="M36" s="177">
        <v>91.25</v>
      </c>
      <c r="N36" s="191">
        <f t="shared" si="6"/>
        <v>6.3596712328767113</v>
      </c>
      <c r="O36" s="177"/>
      <c r="P36" s="190">
        <v>15.044712328767123</v>
      </c>
      <c r="Q36" s="177"/>
      <c r="R36" s="183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</row>
    <row r="37" spans="1:30" ht="12.75" customHeight="1">
      <c r="A37" s="177" t="s">
        <v>208</v>
      </c>
      <c r="B37" s="183">
        <v>175</v>
      </c>
      <c r="C37" s="184">
        <f t="shared" si="0"/>
        <v>4.3903662819869543E-2</v>
      </c>
      <c r="D37" s="185">
        <v>10</v>
      </c>
      <c r="E37" s="186">
        <f t="shared" si="1"/>
        <v>0.43903662819869543</v>
      </c>
      <c r="F37" s="183">
        <v>9</v>
      </c>
      <c r="G37" s="183">
        <f t="shared" si="2"/>
        <v>8.5609633718013054</v>
      </c>
      <c r="H37" s="187">
        <f t="shared" si="3"/>
        <v>19.499428571428574</v>
      </c>
      <c r="I37" s="188">
        <f t="shared" si="4"/>
        <v>0.95121815242236729</v>
      </c>
      <c r="J37" s="183">
        <v>23.99</v>
      </c>
      <c r="K37" s="183"/>
      <c r="L37" s="189">
        <f t="shared" si="5"/>
        <v>359.67749999999995</v>
      </c>
      <c r="M37" s="177">
        <v>60</v>
      </c>
      <c r="N37" s="190">
        <f t="shared" si="6"/>
        <v>5.9946249999999992</v>
      </c>
      <c r="O37" s="177"/>
      <c r="P37" s="190">
        <v>1.6983999999999999</v>
      </c>
      <c r="Q37" s="177"/>
      <c r="R37" s="183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</row>
    <row r="38" spans="1:30" ht="12.75" customHeight="1">
      <c r="A38" s="177" t="s">
        <v>209</v>
      </c>
      <c r="B38" s="183">
        <v>200</v>
      </c>
      <c r="C38" s="184">
        <f t="shared" si="0"/>
        <v>5.0175614651279475E-2</v>
      </c>
      <c r="D38" s="185">
        <v>10</v>
      </c>
      <c r="E38" s="186">
        <f t="shared" si="1"/>
        <v>0.50175614651279477</v>
      </c>
      <c r="F38" s="183">
        <v>9</v>
      </c>
      <c r="G38" s="183">
        <f t="shared" si="2"/>
        <v>8.4982438534872049</v>
      </c>
      <c r="H38" s="187">
        <f t="shared" si="3"/>
        <v>16.937000000000001</v>
      </c>
      <c r="I38" s="188">
        <f t="shared" si="4"/>
        <v>0.94424931705413384</v>
      </c>
      <c r="J38" s="183">
        <v>23.99</v>
      </c>
      <c r="K38" s="183"/>
      <c r="L38" s="189">
        <f t="shared" si="5"/>
        <v>359.67749999999995</v>
      </c>
      <c r="M38" s="177">
        <v>60</v>
      </c>
      <c r="N38" s="190">
        <f t="shared" si="6"/>
        <v>5.9946249999999992</v>
      </c>
      <c r="O38" s="177"/>
      <c r="P38" s="190">
        <v>1.6983999999999999</v>
      </c>
      <c r="Q38" s="177"/>
      <c r="R38" s="183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</row>
    <row r="39" spans="1:30" ht="12.75" customHeight="1">
      <c r="A39" s="177"/>
      <c r="B39" s="183"/>
      <c r="C39" s="177"/>
      <c r="D39" s="185"/>
      <c r="E39" s="186"/>
      <c r="F39" s="183"/>
      <c r="G39" s="183"/>
      <c r="H39" s="187"/>
      <c r="I39" s="188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2" t="s">
        <v>339</v>
      </c>
      <c r="X39" s="177"/>
      <c r="Y39" s="177"/>
      <c r="Z39" s="177"/>
      <c r="AA39" s="177"/>
      <c r="AB39" s="177"/>
      <c r="AC39" s="177"/>
      <c r="AD39" s="177"/>
    </row>
    <row r="40" spans="1:30" ht="12.75" customHeight="1">
      <c r="A40" s="172" t="s">
        <v>340</v>
      </c>
      <c r="B40" s="183"/>
      <c r="C40" s="177"/>
      <c r="D40" s="192" t="s">
        <v>341</v>
      </c>
      <c r="E40" s="186"/>
      <c r="F40" s="177"/>
      <c r="G40" s="177"/>
      <c r="H40" s="185"/>
      <c r="I40" s="183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>
        <v>4</v>
      </c>
      <c r="X40" s="177"/>
      <c r="Y40" s="177">
        <v>10</v>
      </c>
      <c r="Z40" s="177"/>
      <c r="AA40" s="193" t="s">
        <v>342</v>
      </c>
      <c r="AB40" s="177"/>
      <c r="AC40" s="177"/>
      <c r="AD40" s="177"/>
    </row>
    <row r="41" spans="1:30" ht="29.25" customHeight="1">
      <c r="A41" s="194">
        <v>10</v>
      </c>
      <c r="B41" s="195" t="s">
        <v>343</v>
      </c>
      <c r="C41" s="195" t="s">
        <v>344</v>
      </c>
      <c r="D41" s="196" t="s">
        <v>345</v>
      </c>
      <c r="E41" s="197" t="s">
        <v>346</v>
      </c>
      <c r="F41" s="198" t="s">
        <v>347</v>
      </c>
      <c r="G41" s="198" t="s">
        <v>348</v>
      </c>
      <c r="H41" s="199" t="s">
        <v>349</v>
      </c>
      <c r="I41" s="200" t="s">
        <v>350</v>
      </c>
      <c r="J41" s="199" t="s">
        <v>351</v>
      </c>
      <c r="K41" s="199" t="s">
        <v>352</v>
      </c>
      <c r="L41" s="199" t="s">
        <v>353</v>
      </c>
      <c r="M41" s="201" t="s">
        <v>354</v>
      </c>
      <c r="N41" s="202" t="s">
        <v>332</v>
      </c>
      <c r="O41" s="200" t="s">
        <v>355</v>
      </c>
      <c r="P41" s="200" t="s">
        <v>356</v>
      </c>
      <c r="Q41" s="203" t="s">
        <v>357</v>
      </c>
      <c r="R41" s="203" t="s">
        <v>336</v>
      </c>
      <c r="S41" s="203" t="s">
        <v>358</v>
      </c>
      <c r="T41" s="177"/>
      <c r="U41" s="174" t="s">
        <v>359</v>
      </c>
      <c r="V41" s="174" t="s">
        <v>360</v>
      </c>
      <c r="W41" s="174" t="s">
        <v>361</v>
      </c>
      <c r="X41" s="174" t="s">
        <v>362</v>
      </c>
      <c r="Y41" s="174" t="s">
        <v>363</v>
      </c>
      <c r="Z41" s="174" t="s">
        <v>364</v>
      </c>
      <c r="AA41" s="177" t="s">
        <v>365</v>
      </c>
      <c r="AB41" s="177"/>
      <c r="AC41" s="177"/>
      <c r="AD41" s="177"/>
    </row>
    <row r="42" spans="1:30" ht="12.75" customHeight="1">
      <c r="A42" s="177" t="s">
        <v>174</v>
      </c>
      <c r="B42" s="187">
        <v>0.9</v>
      </c>
      <c r="C42" s="183">
        <f t="shared" ref="C42:C77" si="7">(B3*A$41)</f>
        <v>400</v>
      </c>
      <c r="D42" s="204">
        <v>5</v>
      </c>
      <c r="E42" s="190">
        <f t="shared" ref="E42:E77" si="8">D42*A$41</f>
        <v>50</v>
      </c>
      <c r="F42" s="190">
        <f>(E42*B42)</f>
        <v>45</v>
      </c>
      <c r="G42" s="190">
        <f t="shared" ref="G42:G77" si="9">F42*0.975</f>
        <v>43.875</v>
      </c>
      <c r="H42" s="205">
        <v>0.68</v>
      </c>
      <c r="I42" s="205">
        <f t="shared" ref="I42:I77" si="10">100%-H42</f>
        <v>0.31999999999999995</v>
      </c>
      <c r="J42" s="206">
        <f t="shared" ref="J42:J77" si="11">G42*H42</f>
        <v>29.835000000000001</v>
      </c>
      <c r="K42" s="206">
        <f t="shared" ref="K42:K77" si="12">J42/D42</f>
        <v>5.9670000000000005</v>
      </c>
      <c r="L42" s="189">
        <f t="shared" ref="L42:L77" si="13">((J42*31)*128)/D3</f>
        <v>7399.08</v>
      </c>
      <c r="M42" s="183">
        <f t="shared" ref="M42:M77" si="14">L42*F3</f>
        <v>51793.56</v>
      </c>
      <c r="N42" s="183">
        <f t="shared" ref="N42:N77" si="15">L42*G3</f>
        <v>50605.54916206724</v>
      </c>
      <c r="O42" s="206">
        <f t="shared" ref="O42:O77" si="16">G42*I42</f>
        <v>14.039999999999997</v>
      </c>
      <c r="P42" s="206">
        <f t="shared" ref="P42:P77" si="17">((((O42*31)*128))/16)/24</f>
        <v>145.07999999999996</v>
      </c>
      <c r="Q42" s="183">
        <f>P42*PkG_Pricing!D$9</f>
        <v>1658.2643999999993</v>
      </c>
      <c r="R42" s="189">
        <f t="shared" ref="R42:R77" si="18">P42*6</f>
        <v>870.47999999999979</v>
      </c>
      <c r="S42" s="183">
        <f t="shared" ref="S42:S77" si="19">R42*J3</f>
        <v>11307.535199999997</v>
      </c>
      <c r="T42" s="177"/>
      <c r="U42" s="190">
        <f t="shared" ref="U42:U79" si="20">(J42*31)*128</f>
        <v>118385.28</v>
      </c>
      <c r="V42" s="190">
        <v>365</v>
      </c>
      <c r="W42" s="177">
        <v>0.12</v>
      </c>
      <c r="X42" s="177">
        <f t="shared" ref="X42:X79" si="21">W42*W$40</f>
        <v>0.48</v>
      </c>
      <c r="Y42" s="177">
        <v>4</v>
      </c>
      <c r="Z42" s="177">
        <f t="shared" ref="Z42:Z79" si="22">Y42*Y$40</f>
        <v>40</v>
      </c>
      <c r="AA42" s="190">
        <f t="shared" ref="AA42:AA77" si="23">((U42-((X42+Z42)*V42))/V42)/D3</f>
        <v>17.741452054794522</v>
      </c>
      <c r="AB42" s="177"/>
      <c r="AC42" s="177"/>
      <c r="AD42" s="177"/>
    </row>
    <row r="43" spans="1:30" ht="12.75" customHeight="1">
      <c r="A43" s="177" t="s">
        <v>175</v>
      </c>
      <c r="B43" s="187">
        <v>0.9</v>
      </c>
      <c r="C43" s="183">
        <f t="shared" si="7"/>
        <v>400</v>
      </c>
      <c r="D43" s="204">
        <v>5</v>
      </c>
      <c r="E43" s="190">
        <f t="shared" si="8"/>
        <v>50</v>
      </c>
      <c r="F43" s="190">
        <f t="shared" ref="F43:F77" si="24">E43*B43</f>
        <v>45</v>
      </c>
      <c r="G43" s="190">
        <f t="shared" si="9"/>
        <v>43.875</v>
      </c>
      <c r="H43" s="205">
        <v>0.68</v>
      </c>
      <c r="I43" s="205">
        <f t="shared" si="10"/>
        <v>0.31999999999999995</v>
      </c>
      <c r="J43" s="206">
        <f t="shared" si="11"/>
        <v>29.835000000000001</v>
      </c>
      <c r="K43" s="206">
        <f t="shared" si="12"/>
        <v>5.9670000000000005</v>
      </c>
      <c r="L43" s="189">
        <f t="shared" si="13"/>
        <v>7399.08</v>
      </c>
      <c r="M43" s="183">
        <f t="shared" si="14"/>
        <v>51793.56</v>
      </c>
      <c r="N43" s="183">
        <f t="shared" si="15"/>
        <v>50605.54916206724</v>
      </c>
      <c r="O43" s="206">
        <f t="shared" si="16"/>
        <v>14.039999999999997</v>
      </c>
      <c r="P43" s="206">
        <f t="shared" si="17"/>
        <v>145.07999999999996</v>
      </c>
      <c r="Q43" s="183">
        <f>P43*PkG_Pricing!D$9</f>
        <v>1658.2643999999993</v>
      </c>
      <c r="R43" s="189">
        <f t="shared" si="18"/>
        <v>870.47999999999979</v>
      </c>
      <c r="S43" s="183">
        <f t="shared" si="19"/>
        <v>11307.535199999997</v>
      </c>
      <c r="T43" s="177"/>
      <c r="U43" s="190">
        <f t="shared" si="20"/>
        <v>118385.28</v>
      </c>
      <c r="V43" s="190">
        <v>365</v>
      </c>
      <c r="W43" s="177">
        <v>0.12</v>
      </c>
      <c r="X43" s="177">
        <f t="shared" si="21"/>
        <v>0.48</v>
      </c>
      <c r="Y43" s="177">
        <v>6</v>
      </c>
      <c r="Z43" s="177">
        <f t="shared" si="22"/>
        <v>60</v>
      </c>
      <c r="AA43" s="190">
        <f t="shared" si="23"/>
        <v>16.491452054794522</v>
      </c>
      <c r="AB43" s="177"/>
      <c r="AC43" s="177"/>
      <c r="AD43" s="177"/>
    </row>
    <row r="44" spans="1:30" ht="12.75" customHeight="1">
      <c r="A44" s="177" t="s">
        <v>176</v>
      </c>
      <c r="B44" s="187">
        <v>0.82</v>
      </c>
      <c r="C44" s="183">
        <f t="shared" si="7"/>
        <v>850</v>
      </c>
      <c r="D44" s="204">
        <v>5</v>
      </c>
      <c r="E44" s="190">
        <f t="shared" si="8"/>
        <v>50</v>
      </c>
      <c r="F44" s="190">
        <f t="shared" si="24"/>
        <v>41</v>
      </c>
      <c r="G44" s="190">
        <f t="shared" si="9"/>
        <v>39.975000000000001</v>
      </c>
      <c r="H44" s="205">
        <v>0.65</v>
      </c>
      <c r="I44" s="205">
        <f t="shared" si="10"/>
        <v>0.35</v>
      </c>
      <c r="J44" s="206">
        <f t="shared" si="11"/>
        <v>25.983750000000001</v>
      </c>
      <c r="K44" s="206">
        <f t="shared" si="12"/>
        <v>5.1967499999999998</v>
      </c>
      <c r="L44" s="189">
        <f t="shared" si="13"/>
        <v>7364.5371428571434</v>
      </c>
      <c r="M44" s="183">
        <f t="shared" si="14"/>
        <v>55234.028571428578</v>
      </c>
      <c r="N44" s="183">
        <f t="shared" si="15"/>
        <v>53035.383513726621</v>
      </c>
      <c r="O44" s="206">
        <f t="shared" si="16"/>
        <v>13.991249999999999</v>
      </c>
      <c r="P44" s="206">
        <f t="shared" si="17"/>
        <v>144.57624999999999</v>
      </c>
      <c r="Q44" s="183">
        <f>P44*PkG_Pricing!D$9</f>
        <v>1652.5065374999999</v>
      </c>
      <c r="R44" s="189">
        <f t="shared" si="18"/>
        <v>867.45749999999998</v>
      </c>
      <c r="S44" s="183">
        <f t="shared" si="19"/>
        <v>14738.102924999999</v>
      </c>
      <c r="T44" s="177"/>
      <c r="U44" s="190">
        <f t="shared" si="20"/>
        <v>103103.52</v>
      </c>
      <c r="V44" s="190">
        <v>365</v>
      </c>
      <c r="W44" s="177">
        <v>0.12</v>
      </c>
      <c r="X44" s="177">
        <f t="shared" si="21"/>
        <v>0.48</v>
      </c>
      <c r="Y44" s="177">
        <v>2</v>
      </c>
      <c r="Z44" s="177">
        <f t="shared" si="22"/>
        <v>20</v>
      </c>
      <c r="AA44" s="190">
        <f t="shared" si="23"/>
        <v>18.713956947162426</v>
      </c>
      <c r="AB44" s="177"/>
      <c r="AC44" s="177"/>
      <c r="AD44" s="177"/>
    </row>
    <row r="45" spans="1:30" ht="12.75" customHeight="1">
      <c r="A45" s="177" t="s">
        <v>177</v>
      </c>
      <c r="B45" s="187">
        <v>0.85</v>
      </c>
      <c r="C45" s="183">
        <f t="shared" si="7"/>
        <v>1300</v>
      </c>
      <c r="D45" s="204">
        <v>5</v>
      </c>
      <c r="E45" s="190">
        <f t="shared" si="8"/>
        <v>50</v>
      </c>
      <c r="F45" s="190">
        <f t="shared" si="24"/>
        <v>42.5</v>
      </c>
      <c r="G45" s="190">
        <f t="shared" si="9"/>
        <v>41.4375</v>
      </c>
      <c r="H45" s="205">
        <v>0.68</v>
      </c>
      <c r="I45" s="205">
        <f t="shared" si="10"/>
        <v>0.31999999999999995</v>
      </c>
      <c r="J45" s="206">
        <f t="shared" si="11"/>
        <v>28.177500000000002</v>
      </c>
      <c r="K45" s="206">
        <f t="shared" si="12"/>
        <v>5.6355000000000004</v>
      </c>
      <c r="L45" s="189">
        <f t="shared" si="13"/>
        <v>7986.3085714285717</v>
      </c>
      <c r="M45" s="183">
        <f t="shared" si="14"/>
        <v>59897.314285714288</v>
      </c>
      <c r="N45" s="183">
        <f t="shared" si="15"/>
        <v>56250.781019281778</v>
      </c>
      <c r="O45" s="206">
        <f t="shared" si="16"/>
        <v>13.259999999999998</v>
      </c>
      <c r="P45" s="206">
        <f t="shared" si="17"/>
        <v>137.01999999999998</v>
      </c>
      <c r="Q45" s="183">
        <f>P45*PkG_Pricing!D$9</f>
        <v>1566.1385999999998</v>
      </c>
      <c r="R45" s="189">
        <f t="shared" si="18"/>
        <v>822.11999999999989</v>
      </c>
      <c r="S45" s="183">
        <f t="shared" si="19"/>
        <v>13967.818799999997</v>
      </c>
      <c r="T45" s="177"/>
      <c r="U45" s="190">
        <f t="shared" si="20"/>
        <v>111808.32000000001</v>
      </c>
      <c r="V45" s="190">
        <v>365</v>
      </c>
      <c r="W45" s="177">
        <v>0.12</v>
      </c>
      <c r="X45" s="177">
        <f t="shared" si="21"/>
        <v>0.48</v>
      </c>
      <c r="Y45" s="177">
        <v>2</v>
      </c>
      <c r="Z45" s="177">
        <f t="shared" si="22"/>
        <v>20</v>
      </c>
      <c r="AA45" s="190">
        <f t="shared" si="23"/>
        <v>20.417440313111548</v>
      </c>
      <c r="AB45" s="177"/>
      <c r="AC45" s="177"/>
      <c r="AD45" s="177"/>
    </row>
    <row r="46" spans="1:30" ht="12.75" customHeight="1">
      <c r="A46" s="177" t="s">
        <v>178</v>
      </c>
      <c r="B46" s="187">
        <v>0.92</v>
      </c>
      <c r="C46" s="183">
        <f t="shared" si="7"/>
        <v>450</v>
      </c>
      <c r="D46" s="204">
        <v>3</v>
      </c>
      <c r="E46" s="190">
        <f t="shared" si="8"/>
        <v>30</v>
      </c>
      <c r="F46" s="190">
        <f t="shared" si="24"/>
        <v>27.6</v>
      </c>
      <c r="G46" s="190">
        <f t="shared" si="9"/>
        <v>26.91</v>
      </c>
      <c r="H46" s="205">
        <v>1</v>
      </c>
      <c r="I46" s="205">
        <f t="shared" si="10"/>
        <v>0</v>
      </c>
      <c r="J46" s="206">
        <f t="shared" si="11"/>
        <v>26.91</v>
      </c>
      <c r="K46" s="206">
        <f t="shared" si="12"/>
        <v>8.9700000000000006</v>
      </c>
      <c r="L46" s="189">
        <f t="shared" si="13"/>
        <v>6673.68</v>
      </c>
      <c r="M46" s="183">
        <f t="shared" si="14"/>
        <v>46715.76</v>
      </c>
      <c r="N46" s="183">
        <f t="shared" si="15"/>
        <v>45510.278414450579</v>
      </c>
      <c r="O46" s="206">
        <f t="shared" si="16"/>
        <v>0</v>
      </c>
      <c r="P46" s="206">
        <f t="shared" si="17"/>
        <v>0</v>
      </c>
      <c r="Q46" s="183">
        <f>P46*PkG_Pricing!D$9</f>
        <v>0</v>
      </c>
      <c r="R46" s="189">
        <f t="shared" si="18"/>
        <v>0</v>
      </c>
      <c r="S46" s="183">
        <f t="shared" si="19"/>
        <v>0</v>
      </c>
      <c r="T46" s="177"/>
      <c r="U46" s="190">
        <f t="shared" si="20"/>
        <v>106778.88</v>
      </c>
      <c r="V46" s="190">
        <v>365</v>
      </c>
      <c r="W46" s="177">
        <v>0.12</v>
      </c>
      <c r="X46" s="177">
        <f t="shared" si="21"/>
        <v>0.48</v>
      </c>
      <c r="Y46" s="177">
        <v>6</v>
      </c>
      <c r="Z46" s="177">
        <f t="shared" si="22"/>
        <v>60</v>
      </c>
      <c r="AA46" s="190">
        <f t="shared" si="23"/>
        <v>14.504054794520549</v>
      </c>
      <c r="AB46" s="177"/>
      <c r="AC46" s="177"/>
      <c r="AD46" s="177"/>
    </row>
    <row r="47" spans="1:30" ht="12.75" customHeight="1">
      <c r="A47" s="177" t="s">
        <v>179</v>
      </c>
      <c r="B47" s="187">
        <v>0.88</v>
      </c>
      <c r="C47" s="183">
        <f t="shared" si="7"/>
        <v>1000</v>
      </c>
      <c r="D47" s="204">
        <v>1</v>
      </c>
      <c r="E47" s="190">
        <f t="shared" si="8"/>
        <v>10</v>
      </c>
      <c r="F47" s="190">
        <f t="shared" si="24"/>
        <v>8.8000000000000007</v>
      </c>
      <c r="G47" s="190">
        <f t="shared" si="9"/>
        <v>8.58</v>
      </c>
      <c r="H47" s="205">
        <v>0.77500000000000002</v>
      </c>
      <c r="I47" s="205">
        <f t="shared" si="10"/>
        <v>0.22499999999999998</v>
      </c>
      <c r="J47" s="206">
        <f t="shared" si="11"/>
        <v>6.6495000000000006</v>
      </c>
      <c r="K47" s="206">
        <f t="shared" si="12"/>
        <v>6.6495000000000006</v>
      </c>
      <c r="L47" s="189">
        <f t="shared" si="13"/>
        <v>2198.7680000000005</v>
      </c>
      <c r="M47" s="183">
        <f t="shared" si="14"/>
        <v>17590.144000000004</v>
      </c>
      <c r="N47" s="183">
        <f t="shared" si="15"/>
        <v>16928.196784746615</v>
      </c>
      <c r="O47" s="206">
        <f t="shared" si="16"/>
        <v>1.9304999999999999</v>
      </c>
      <c r="P47" s="206">
        <f t="shared" si="17"/>
        <v>19.948499999999999</v>
      </c>
      <c r="Q47" s="183">
        <f>P47*PkG_Pricing!D$9</f>
        <v>228.01135499999998</v>
      </c>
      <c r="R47" s="189">
        <f t="shared" si="18"/>
        <v>119.691</v>
      </c>
      <c r="S47" s="183">
        <f t="shared" si="19"/>
        <v>1794.1680900000001</v>
      </c>
      <c r="T47" s="177"/>
      <c r="U47" s="190">
        <f t="shared" si="20"/>
        <v>26385.216000000004</v>
      </c>
      <c r="V47" s="177">
        <v>91.25</v>
      </c>
      <c r="W47" s="177">
        <v>0.18</v>
      </c>
      <c r="X47" s="177">
        <f t="shared" si="21"/>
        <v>0.72</v>
      </c>
      <c r="Y47" s="177">
        <v>4</v>
      </c>
      <c r="Z47" s="177">
        <f t="shared" si="22"/>
        <v>40</v>
      </c>
      <c r="AA47" s="190">
        <f t="shared" si="23"/>
        <v>20.702754337899545</v>
      </c>
      <c r="AB47" s="177"/>
      <c r="AC47" s="177"/>
      <c r="AD47" s="177"/>
    </row>
    <row r="48" spans="1:30" ht="12.75" customHeight="1">
      <c r="A48" s="177" t="s">
        <v>180</v>
      </c>
      <c r="B48" s="187">
        <v>0.88</v>
      </c>
      <c r="C48" s="183">
        <f t="shared" si="7"/>
        <v>850</v>
      </c>
      <c r="D48" s="204">
        <v>1</v>
      </c>
      <c r="E48" s="190">
        <f t="shared" si="8"/>
        <v>10</v>
      </c>
      <c r="F48" s="190">
        <f t="shared" si="24"/>
        <v>8.8000000000000007</v>
      </c>
      <c r="G48" s="190">
        <f t="shared" si="9"/>
        <v>8.58</v>
      </c>
      <c r="H48" s="205">
        <v>0.77500000000000002</v>
      </c>
      <c r="I48" s="205">
        <f t="shared" si="10"/>
        <v>0.22499999999999998</v>
      </c>
      <c r="J48" s="206">
        <f t="shared" si="11"/>
        <v>6.6495000000000006</v>
      </c>
      <c r="K48" s="206">
        <f t="shared" si="12"/>
        <v>6.6495000000000006</v>
      </c>
      <c r="L48" s="189">
        <f t="shared" si="13"/>
        <v>1884.658285714286</v>
      </c>
      <c r="M48" s="183">
        <f t="shared" si="14"/>
        <v>14134.937142857145</v>
      </c>
      <c r="N48" s="183">
        <f t="shared" si="15"/>
        <v>13572.282009891767</v>
      </c>
      <c r="O48" s="206">
        <f t="shared" si="16"/>
        <v>1.9304999999999999</v>
      </c>
      <c r="P48" s="206">
        <f t="shared" si="17"/>
        <v>19.948499999999999</v>
      </c>
      <c r="Q48" s="183">
        <f>P48*PkG_Pricing!D$9</f>
        <v>228.01135499999998</v>
      </c>
      <c r="R48" s="189">
        <f t="shared" si="18"/>
        <v>119.691</v>
      </c>
      <c r="S48" s="183">
        <f t="shared" si="19"/>
        <v>1794.1680900000001</v>
      </c>
      <c r="T48" s="177"/>
      <c r="U48" s="190">
        <f t="shared" si="20"/>
        <v>26385.216000000004</v>
      </c>
      <c r="V48" s="177">
        <v>91.25</v>
      </c>
      <c r="W48" s="177">
        <v>0.18</v>
      </c>
      <c r="X48" s="177">
        <f t="shared" si="21"/>
        <v>0.72</v>
      </c>
      <c r="Y48" s="177">
        <v>4</v>
      </c>
      <c r="Z48" s="177">
        <f t="shared" si="22"/>
        <v>40</v>
      </c>
      <c r="AA48" s="190">
        <f t="shared" si="23"/>
        <v>17.745218003913898</v>
      </c>
      <c r="AB48" s="177"/>
      <c r="AC48" s="177"/>
      <c r="AD48" s="177"/>
    </row>
    <row r="49" spans="1:30" ht="12.75" customHeight="1">
      <c r="A49" s="177" t="s">
        <v>181</v>
      </c>
      <c r="B49" s="187">
        <v>0.88</v>
      </c>
      <c r="C49" s="183">
        <f t="shared" si="7"/>
        <v>900</v>
      </c>
      <c r="D49" s="204">
        <v>1</v>
      </c>
      <c r="E49" s="190">
        <f t="shared" si="8"/>
        <v>10</v>
      </c>
      <c r="F49" s="190">
        <f t="shared" si="24"/>
        <v>8.8000000000000007</v>
      </c>
      <c r="G49" s="190">
        <f t="shared" si="9"/>
        <v>8.58</v>
      </c>
      <c r="H49" s="205">
        <v>0.55000000000000004</v>
      </c>
      <c r="I49" s="205">
        <f t="shared" si="10"/>
        <v>0.44999999999999996</v>
      </c>
      <c r="J49" s="206">
        <f t="shared" si="11"/>
        <v>4.7190000000000003</v>
      </c>
      <c r="K49" s="206">
        <f t="shared" si="12"/>
        <v>4.7190000000000003</v>
      </c>
      <c r="L49" s="189">
        <f t="shared" si="13"/>
        <v>1337.4994285714288</v>
      </c>
      <c r="M49" s="183">
        <f t="shared" si="14"/>
        <v>10031.245714285717</v>
      </c>
      <c r="N49" s="183">
        <f t="shared" si="15"/>
        <v>9608.4536219625843</v>
      </c>
      <c r="O49" s="206">
        <f t="shared" si="16"/>
        <v>3.8609999999999998</v>
      </c>
      <c r="P49" s="206">
        <f t="shared" si="17"/>
        <v>39.896999999999998</v>
      </c>
      <c r="Q49" s="183">
        <f>P49*PkG_Pricing!D$9</f>
        <v>456.02270999999996</v>
      </c>
      <c r="R49" s="189">
        <f t="shared" si="18"/>
        <v>239.38200000000001</v>
      </c>
      <c r="S49" s="183">
        <f t="shared" si="19"/>
        <v>4067.1001799999999</v>
      </c>
      <c r="T49" s="177"/>
      <c r="U49" s="190">
        <f t="shared" si="20"/>
        <v>18724.992000000002</v>
      </c>
      <c r="V49" s="177">
        <v>91.25</v>
      </c>
      <c r="W49" s="177">
        <v>0.18</v>
      </c>
      <c r="X49" s="177">
        <f t="shared" si="21"/>
        <v>0.72</v>
      </c>
      <c r="Y49" s="177">
        <v>4</v>
      </c>
      <c r="Z49" s="177">
        <f t="shared" si="22"/>
        <v>40</v>
      </c>
      <c r="AA49" s="190">
        <f t="shared" si="23"/>
        <v>11.748956555772995</v>
      </c>
      <c r="AB49" s="177"/>
      <c r="AC49" s="177"/>
      <c r="AD49" s="177"/>
    </row>
    <row r="50" spans="1:30" ht="12.75" customHeight="1">
      <c r="A50" s="177" t="s">
        <v>182</v>
      </c>
      <c r="B50" s="187">
        <v>0.88</v>
      </c>
      <c r="C50" s="183">
        <f t="shared" si="7"/>
        <v>650</v>
      </c>
      <c r="D50" s="204">
        <v>1</v>
      </c>
      <c r="E50" s="190">
        <f t="shared" si="8"/>
        <v>10</v>
      </c>
      <c r="F50" s="190">
        <f t="shared" si="24"/>
        <v>8.8000000000000007</v>
      </c>
      <c r="G50" s="190">
        <f t="shared" si="9"/>
        <v>8.58</v>
      </c>
      <c r="H50" s="205">
        <v>0.55000000000000004</v>
      </c>
      <c r="I50" s="205">
        <f t="shared" si="10"/>
        <v>0.44999999999999996</v>
      </c>
      <c r="J50" s="206">
        <f t="shared" si="11"/>
        <v>4.7190000000000003</v>
      </c>
      <c r="K50" s="206">
        <f t="shared" si="12"/>
        <v>4.7190000000000003</v>
      </c>
      <c r="L50" s="189">
        <f t="shared" si="13"/>
        <v>1560.4160000000002</v>
      </c>
      <c r="M50" s="183">
        <f t="shared" si="14"/>
        <v>12483.328000000001</v>
      </c>
      <c r="N50" s="183">
        <f t="shared" si="15"/>
        <v>12177.978155544408</v>
      </c>
      <c r="O50" s="206">
        <f t="shared" si="16"/>
        <v>3.8609999999999998</v>
      </c>
      <c r="P50" s="206">
        <f t="shared" si="17"/>
        <v>39.896999999999998</v>
      </c>
      <c r="Q50" s="183">
        <f>P50*PkG_Pricing!D$9</f>
        <v>456.02270999999996</v>
      </c>
      <c r="R50" s="189">
        <f t="shared" si="18"/>
        <v>239.38200000000001</v>
      </c>
      <c r="S50" s="183">
        <f t="shared" si="19"/>
        <v>5264.0101799999993</v>
      </c>
      <c r="T50" s="177"/>
      <c r="U50" s="190">
        <f t="shared" si="20"/>
        <v>18724.992000000002</v>
      </c>
      <c r="V50" s="177">
        <v>91.25</v>
      </c>
      <c r="W50" s="177">
        <v>0.18</v>
      </c>
      <c r="X50" s="177">
        <f t="shared" si="21"/>
        <v>0.72</v>
      </c>
      <c r="Y50" s="177">
        <v>4</v>
      </c>
      <c r="Z50" s="177">
        <f t="shared" si="22"/>
        <v>40</v>
      </c>
      <c r="AA50" s="190">
        <f t="shared" si="23"/>
        <v>13.707115981735162</v>
      </c>
      <c r="AB50" s="177"/>
      <c r="AC50" s="177"/>
      <c r="AD50" s="177"/>
    </row>
    <row r="51" spans="1:30" ht="12.75" customHeight="1">
      <c r="A51" s="177" t="s">
        <v>183</v>
      </c>
      <c r="B51" s="187">
        <v>0.87</v>
      </c>
      <c r="C51" s="183">
        <f t="shared" si="7"/>
        <v>1100</v>
      </c>
      <c r="D51" s="204">
        <v>1</v>
      </c>
      <c r="E51" s="190">
        <f t="shared" si="8"/>
        <v>10</v>
      </c>
      <c r="F51" s="190">
        <f t="shared" si="24"/>
        <v>8.6999999999999993</v>
      </c>
      <c r="G51" s="190">
        <f t="shared" si="9"/>
        <v>8.4824999999999999</v>
      </c>
      <c r="H51" s="205">
        <v>0.77</v>
      </c>
      <c r="I51" s="205">
        <f t="shared" si="10"/>
        <v>0.22999999999999998</v>
      </c>
      <c r="J51" s="206">
        <f t="shared" si="11"/>
        <v>6.5315250000000002</v>
      </c>
      <c r="K51" s="206">
        <f t="shared" si="12"/>
        <v>6.5315250000000002</v>
      </c>
      <c r="L51" s="189">
        <f t="shared" si="13"/>
        <v>1851.2208000000003</v>
      </c>
      <c r="M51" s="183">
        <f t="shared" si="14"/>
        <v>13884.156000000003</v>
      </c>
      <c r="N51" s="183">
        <f t="shared" si="15"/>
        <v>13168.932710486704</v>
      </c>
      <c r="O51" s="206">
        <f t="shared" si="16"/>
        <v>1.9509749999999999</v>
      </c>
      <c r="P51" s="206">
        <f t="shared" si="17"/>
        <v>20.160074999999999</v>
      </c>
      <c r="Q51" s="183">
        <f>P51*PkG_Pricing!D$9</f>
        <v>230.42965724999999</v>
      </c>
      <c r="R51" s="189">
        <f t="shared" si="18"/>
        <v>120.96044999999999</v>
      </c>
      <c r="S51" s="183">
        <f t="shared" si="19"/>
        <v>1813.1971455</v>
      </c>
      <c r="T51" s="177"/>
      <c r="U51" s="190">
        <f t="shared" si="20"/>
        <v>25917.091200000003</v>
      </c>
      <c r="V51" s="177">
        <v>73</v>
      </c>
      <c r="W51" s="177">
        <v>0.18</v>
      </c>
      <c r="X51" s="177">
        <f t="shared" si="21"/>
        <v>0.72</v>
      </c>
      <c r="Y51" s="177">
        <v>8</v>
      </c>
      <c r="Z51" s="177">
        <f t="shared" si="22"/>
        <v>80</v>
      </c>
      <c r="AA51" s="190">
        <f t="shared" si="23"/>
        <v>19.59347475538161</v>
      </c>
      <c r="AB51" s="177"/>
      <c r="AC51" s="177"/>
      <c r="AD51" s="177"/>
    </row>
    <row r="52" spans="1:30" ht="12.75" customHeight="1">
      <c r="A52" s="177" t="s">
        <v>184</v>
      </c>
      <c r="B52" s="187">
        <v>0.87</v>
      </c>
      <c r="C52" s="183">
        <f t="shared" si="7"/>
        <v>1200</v>
      </c>
      <c r="D52" s="204">
        <v>1</v>
      </c>
      <c r="E52" s="190">
        <f t="shared" si="8"/>
        <v>10</v>
      </c>
      <c r="F52" s="190">
        <f t="shared" si="24"/>
        <v>8.6999999999999993</v>
      </c>
      <c r="G52" s="190">
        <f t="shared" si="9"/>
        <v>8.4824999999999999</v>
      </c>
      <c r="H52" s="205">
        <v>0.77</v>
      </c>
      <c r="I52" s="205">
        <f t="shared" si="10"/>
        <v>0.22999999999999998</v>
      </c>
      <c r="J52" s="206">
        <f t="shared" si="11"/>
        <v>6.5315250000000002</v>
      </c>
      <c r="K52" s="206">
        <f t="shared" si="12"/>
        <v>6.5315250000000002</v>
      </c>
      <c r="L52" s="189">
        <f t="shared" si="13"/>
        <v>1851.2208000000003</v>
      </c>
      <c r="M52" s="183">
        <f t="shared" si="14"/>
        <v>13884.156000000003</v>
      </c>
      <c r="N52" s="183">
        <f t="shared" si="15"/>
        <v>13103.912411440044</v>
      </c>
      <c r="O52" s="206">
        <f t="shared" si="16"/>
        <v>1.9509749999999999</v>
      </c>
      <c r="P52" s="206">
        <f t="shared" si="17"/>
        <v>20.160074999999999</v>
      </c>
      <c r="Q52" s="183">
        <f>P52*PkG_Pricing!D$9</f>
        <v>230.42965724999999</v>
      </c>
      <c r="R52" s="189">
        <f t="shared" si="18"/>
        <v>120.96044999999999</v>
      </c>
      <c r="S52" s="183">
        <f t="shared" si="19"/>
        <v>2055.1180454999999</v>
      </c>
      <c r="T52" s="177"/>
      <c r="U52" s="190">
        <f t="shared" si="20"/>
        <v>25917.091200000003</v>
      </c>
      <c r="V52" s="177">
        <v>73</v>
      </c>
      <c r="W52" s="177">
        <v>0.18</v>
      </c>
      <c r="X52" s="177">
        <f t="shared" si="21"/>
        <v>0.72</v>
      </c>
      <c r="Y52" s="177">
        <v>8</v>
      </c>
      <c r="Z52" s="177">
        <f t="shared" si="22"/>
        <v>80</v>
      </c>
      <c r="AA52" s="190">
        <f t="shared" si="23"/>
        <v>19.59347475538161</v>
      </c>
      <c r="AB52" s="177"/>
      <c r="AC52" s="177"/>
      <c r="AD52" s="177"/>
    </row>
    <row r="53" spans="1:30" ht="12.75" customHeight="1">
      <c r="A53" s="177" t="s">
        <v>185</v>
      </c>
      <c r="B53" s="187">
        <v>0.87</v>
      </c>
      <c r="C53" s="183">
        <f t="shared" si="7"/>
        <v>1300</v>
      </c>
      <c r="D53" s="204">
        <v>1</v>
      </c>
      <c r="E53" s="190">
        <f t="shared" si="8"/>
        <v>10</v>
      </c>
      <c r="F53" s="190">
        <f t="shared" si="24"/>
        <v>8.6999999999999993</v>
      </c>
      <c r="G53" s="190">
        <f t="shared" si="9"/>
        <v>8.4824999999999999</v>
      </c>
      <c r="H53" s="205">
        <v>0.77</v>
      </c>
      <c r="I53" s="205">
        <f t="shared" si="10"/>
        <v>0.22999999999999998</v>
      </c>
      <c r="J53" s="206">
        <f t="shared" si="11"/>
        <v>6.5315250000000002</v>
      </c>
      <c r="K53" s="206">
        <f t="shared" si="12"/>
        <v>6.5315250000000002</v>
      </c>
      <c r="L53" s="189">
        <f t="shared" si="13"/>
        <v>1851.2208000000003</v>
      </c>
      <c r="M53" s="183">
        <f t="shared" si="14"/>
        <v>13884.156000000003</v>
      </c>
      <c r="N53" s="183">
        <f t="shared" si="15"/>
        <v>13038.89211239338</v>
      </c>
      <c r="O53" s="206">
        <f t="shared" si="16"/>
        <v>1.9509749999999999</v>
      </c>
      <c r="P53" s="206">
        <f t="shared" si="17"/>
        <v>20.160074999999999</v>
      </c>
      <c r="Q53" s="183">
        <f>P53*PkG_Pricing!D$9</f>
        <v>230.42965724999999</v>
      </c>
      <c r="R53" s="189">
        <f t="shared" si="18"/>
        <v>120.96044999999999</v>
      </c>
      <c r="S53" s="183">
        <f t="shared" si="19"/>
        <v>2055.1180454999999</v>
      </c>
      <c r="T53" s="177"/>
      <c r="U53" s="190">
        <f t="shared" si="20"/>
        <v>25917.091200000003</v>
      </c>
      <c r="V53" s="177">
        <v>73</v>
      </c>
      <c r="W53" s="177">
        <v>0.18</v>
      </c>
      <c r="X53" s="177">
        <f t="shared" si="21"/>
        <v>0.72</v>
      </c>
      <c r="Y53" s="177">
        <v>8</v>
      </c>
      <c r="Z53" s="177">
        <f t="shared" si="22"/>
        <v>80</v>
      </c>
      <c r="AA53" s="190">
        <f t="shared" si="23"/>
        <v>19.59347475538161</v>
      </c>
      <c r="AB53" s="177"/>
      <c r="AC53" s="177"/>
      <c r="AD53" s="177"/>
    </row>
    <row r="54" spans="1:30" ht="12.75" customHeight="1">
      <c r="A54" s="177" t="s">
        <v>186</v>
      </c>
      <c r="B54" s="187">
        <v>0.87</v>
      </c>
      <c r="C54" s="183">
        <f t="shared" si="7"/>
        <v>1400</v>
      </c>
      <c r="D54" s="204">
        <v>1</v>
      </c>
      <c r="E54" s="190">
        <f t="shared" si="8"/>
        <v>10</v>
      </c>
      <c r="F54" s="190">
        <f t="shared" si="24"/>
        <v>8.6999999999999993</v>
      </c>
      <c r="G54" s="190">
        <f t="shared" si="9"/>
        <v>8.4824999999999999</v>
      </c>
      <c r="H54" s="205">
        <v>0.77</v>
      </c>
      <c r="I54" s="205">
        <f t="shared" si="10"/>
        <v>0.22999999999999998</v>
      </c>
      <c r="J54" s="206">
        <f t="shared" si="11"/>
        <v>6.5315250000000002</v>
      </c>
      <c r="K54" s="206">
        <f t="shared" si="12"/>
        <v>6.5315250000000002</v>
      </c>
      <c r="L54" s="189">
        <f t="shared" si="13"/>
        <v>1851.2208000000003</v>
      </c>
      <c r="M54" s="183">
        <f t="shared" si="14"/>
        <v>13884.156000000003</v>
      </c>
      <c r="N54" s="183">
        <f t="shared" si="15"/>
        <v>12973.871813346715</v>
      </c>
      <c r="O54" s="206">
        <f t="shared" si="16"/>
        <v>1.9509749999999999</v>
      </c>
      <c r="P54" s="206">
        <f t="shared" si="17"/>
        <v>20.160074999999999</v>
      </c>
      <c r="Q54" s="183">
        <f>P54*PkG_Pricing!D$9</f>
        <v>230.42965724999999</v>
      </c>
      <c r="R54" s="189">
        <f t="shared" si="18"/>
        <v>120.96044999999999</v>
      </c>
      <c r="S54" s="183">
        <f t="shared" si="19"/>
        <v>2055.1180454999999</v>
      </c>
      <c r="T54" s="177"/>
      <c r="U54" s="190">
        <f t="shared" si="20"/>
        <v>25917.091200000003</v>
      </c>
      <c r="V54" s="177">
        <v>73</v>
      </c>
      <c r="W54" s="177">
        <v>0.18</v>
      </c>
      <c r="X54" s="177">
        <f t="shared" si="21"/>
        <v>0.72</v>
      </c>
      <c r="Y54" s="177">
        <v>8</v>
      </c>
      <c r="Z54" s="177">
        <f t="shared" si="22"/>
        <v>80</v>
      </c>
      <c r="AA54" s="190">
        <f t="shared" si="23"/>
        <v>19.59347475538161</v>
      </c>
      <c r="AB54" s="177"/>
      <c r="AC54" s="177"/>
      <c r="AD54" s="177"/>
    </row>
    <row r="55" spans="1:30" ht="12.75" customHeight="1">
      <c r="A55" s="177" t="s">
        <v>187</v>
      </c>
      <c r="B55" s="187">
        <v>0.87</v>
      </c>
      <c r="C55" s="183">
        <f t="shared" si="7"/>
        <v>1500</v>
      </c>
      <c r="D55" s="204">
        <v>1</v>
      </c>
      <c r="E55" s="190">
        <f t="shared" si="8"/>
        <v>10</v>
      </c>
      <c r="F55" s="190">
        <f t="shared" si="24"/>
        <v>8.6999999999999993</v>
      </c>
      <c r="G55" s="190">
        <f t="shared" si="9"/>
        <v>8.4824999999999999</v>
      </c>
      <c r="H55" s="205">
        <v>0.66</v>
      </c>
      <c r="I55" s="205">
        <f t="shared" si="10"/>
        <v>0.33999999999999997</v>
      </c>
      <c r="J55" s="206">
        <f t="shared" si="11"/>
        <v>5.5984500000000006</v>
      </c>
      <c r="K55" s="206">
        <f t="shared" si="12"/>
        <v>5.5984500000000006</v>
      </c>
      <c r="L55" s="189">
        <f t="shared" si="13"/>
        <v>1586.7606857142857</v>
      </c>
      <c r="M55" s="183">
        <f t="shared" si="14"/>
        <v>11900.705142857143</v>
      </c>
      <c r="N55" s="183">
        <f t="shared" si="15"/>
        <v>11064.729869400044</v>
      </c>
      <c r="O55" s="206">
        <f t="shared" si="16"/>
        <v>2.8840499999999998</v>
      </c>
      <c r="P55" s="206">
        <f t="shared" si="17"/>
        <v>29.801849999999998</v>
      </c>
      <c r="Q55" s="183">
        <f>P55*PkG_Pricing!D$9</f>
        <v>340.63514549999996</v>
      </c>
      <c r="R55" s="189">
        <f t="shared" si="18"/>
        <v>178.81109999999998</v>
      </c>
      <c r="S55" s="183">
        <f t="shared" si="19"/>
        <v>3395.6227889999996</v>
      </c>
      <c r="T55" s="177"/>
      <c r="U55" s="190">
        <f t="shared" si="20"/>
        <v>22214.649600000001</v>
      </c>
      <c r="V55" s="177">
        <v>73</v>
      </c>
      <c r="W55" s="177">
        <v>0.18</v>
      </c>
      <c r="X55" s="177">
        <f t="shared" si="21"/>
        <v>0.72</v>
      </c>
      <c r="Y55" s="177">
        <v>8</v>
      </c>
      <c r="Z55" s="177">
        <f t="shared" si="22"/>
        <v>80</v>
      </c>
      <c r="AA55" s="190">
        <f t="shared" si="23"/>
        <v>15.970733463796478</v>
      </c>
      <c r="AB55" s="177"/>
      <c r="AC55" s="177"/>
      <c r="AD55" s="177"/>
    </row>
    <row r="56" spans="1:30" ht="12.75" customHeight="1">
      <c r="A56" s="177" t="s">
        <v>188</v>
      </c>
      <c r="B56" s="187">
        <v>0.85</v>
      </c>
      <c r="C56" s="183">
        <f t="shared" si="7"/>
        <v>1050</v>
      </c>
      <c r="D56" s="204">
        <v>1</v>
      </c>
      <c r="E56" s="190">
        <f t="shared" si="8"/>
        <v>10</v>
      </c>
      <c r="F56" s="190">
        <f t="shared" si="24"/>
        <v>8.5</v>
      </c>
      <c r="G56" s="190">
        <f t="shared" si="9"/>
        <v>8.2874999999999996</v>
      </c>
      <c r="H56" s="205">
        <v>0.76500000000000001</v>
      </c>
      <c r="I56" s="205">
        <f t="shared" si="10"/>
        <v>0.23499999999999999</v>
      </c>
      <c r="J56" s="206">
        <f t="shared" si="11"/>
        <v>6.3399374999999996</v>
      </c>
      <c r="K56" s="206">
        <f t="shared" si="12"/>
        <v>6.3399374999999996</v>
      </c>
      <c r="L56" s="189">
        <f t="shared" si="13"/>
        <v>1796.9194285714286</v>
      </c>
      <c r="M56" s="183">
        <f t="shared" si="14"/>
        <v>13476.895714285714</v>
      </c>
      <c r="N56" s="183">
        <f t="shared" si="15"/>
        <v>12814.208418751345</v>
      </c>
      <c r="O56" s="206">
        <f t="shared" si="16"/>
        <v>1.9475624999999999</v>
      </c>
      <c r="P56" s="206">
        <f t="shared" si="17"/>
        <v>20.124812500000001</v>
      </c>
      <c r="Q56" s="183">
        <f>P56*PkG_Pricing!D$9</f>
        <v>230.026606875</v>
      </c>
      <c r="R56" s="189">
        <f t="shared" si="18"/>
        <v>120.748875</v>
      </c>
      <c r="S56" s="183">
        <f t="shared" si="19"/>
        <v>1810.0256362499999</v>
      </c>
      <c r="T56" s="177"/>
      <c r="U56" s="190">
        <f t="shared" si="20"/>
        <v>25156.871999999999</v>
      </c>
      <c r="V56" s="177">
        <v>45.625</v>
      </c>
      <c r="W56" s="177">
        <v>0.18</v>
      </c>
      <c r="X56" s="177">
        <f t="shared" si="21"/>
        <v>0.72</v>
      </c>
      <c r="Y56" s="177">
        <v>5</v>
      </c>
      <c r="Z56" s="177">
        <f t="shared" si="22"/>
        <v>50</v>
      </c>
      <c r="AA56" s="190">
        <f t="shared" si="23"/>
        <v>35.761678277886496</v>
      </c>
      <c r="AB56" s="177"/>
      <c r="AC56" s="177"/>
      <c r="AD56" s="177"/>
    </row>
    <row r="57" spans="1:30" ht="12.75" customHeight="1">
      <c r="A57" s="177" t="s">
        <v>189</v>
      </c>
      <c r="B57" s="187">
        <v>0.85</v>
      </c>
      <c r="C57" s="183">
        <f t="shared" si="7"/>
        <v>1100</v>
      </c>
      <c r="D57" s="204">
        <v>1</v>
      </c>
      <c r="E57" s="190">
        <f t="shared" si="8"/>
        <v>10</v>
      </c>
      <c r="F57" s="190">
        <f t="shared" si="24"/>
        <v>8.5</v>
      </c>
      <c r="G57" s="190">
        <f t="shared" si="9"/>
        <v>8.2874999999999996</v>
      </c>
      <c r="H57" s="205">
        <v>0.76500000000000001</v>
      </c>
      <c r="I57" s="205">
        <f t="shared" si="10"/>
        <v>0.23499999999999999</v>
      </c>
      <c r="J57" s="206">
        <f t="shared" si="11"/>
        <v>6.3399374999999996</v>
      </c>
      <c r="K57" s="206">
        <f t="shared" si="12"/>
        <v>6.3399374999999996</v>
      </c>
      <c r="L57" s="189">
        <f t="shared" si="13"/>
        <v>1796.9194285714286</v>
      </c>
      <c r="M57" s="183">
        <f t="shared" si="14"/>
        <v>13476.895714285714</v>
      </c>
      <c r="N57" s="183">
        <f t="shared" si="15"/>
        <v>12782.651880868754</v>
      </c>
      <c r="O57" s="206">
        <f t="shared" si="16"/>
        <v>1.9475624999999999</v>
      </c>
      <c r="P57" s="206">
        <f t="shared" si="17"/>
        <v>20.124812500000001</v>
      </c>
      <c r="Q57" s="183">
        <f>P57*PkG_Pricing!D$9</f>
        <v>230.026606875</v>
      </c>
      <c r="R57" s="189">
        <f t="shared" si="18"/>
        <v>120.748875</v>
      </c>
      <c r="S57" s="183">
        <f t="shared" si="19"/>
        <v>1810.0256362499999</v>
      </c>
      <c r="T57" s="177"/>
      <c r="U57" s="190">
        <f t="shared" si="20"/>
        <v>25156.871999999999</v>
      </c>
      <c r="V57" s="177">
        <v>45.625</v>
      </c>
      <c r="W57" s="177">
        <v>0.18</v>
      </c>
      <c r="X57" s="177">
        <f t="shared" si="21"/>
        <v>0.72</v>
      </c>
      <c r="Y57" s="177">
        <v>5</v>
      </c>
      <c r="Z57" s="177">
        <f t="shared" si="22"/>
        <v>50</v>
      </c>
      <c r="AA57" s="190">
        <f t="shared" si="23"/>
        <v>35.761678277886496</v>
      </c>
      <c r="AB57" s="177"/>
      <c r="AC57" s="177"/>
      <c r="AD57" s="177"/>
    </row>
    <row r="58" spans="1:30" ht="12.75" customHeight="1">
      <c r="A58" s="177" t="s">
        <v>190</v>
      </c>
      <c r="B58" s="187">
        <v>0.85</v>
      </c>
      <c r="C58" s="183">
        <f t="shared" si="7"/>
        <v>1200</v>
      </c>
      <c r="D58" s="204">
        <v>1</v>
      </c>
      <c r="E58" s="190">
        <f t="shared" si="8"/>
        <v>10</v>
      </c>
      <c r="F58" s="190">
        <f t="shared" si="24"/>
        <v>8.5</v>
      </c>
      <c r="G58" s="190">
        <f t="shared" si="9"/>
        <v>8.2874999999999996</v>
      </c>
      <c r="H58" s="205">
        <v>0.76500000000000001</v>
      </c>
      <c r="I58" s="205">
        <f t="shared" si="10"/>
        <v>0.23499999999999999</v>
      </c>
      <c r="J58" s="206">
        <f t="shared" si="11"/>
        <v>6.3399374999999996</v>
      </c>
      <c r="K58" s="206">
        <f t="shared" si="12"/>
        <v>6.3399374999999996</v>
      </c>
      <c r="L58" s="189">
        <f t="shared" si="13"/>
        <v>1796.9194285714286</v>
      </c>
      <c r="M58" s="183">
        <f t="shared" si="14"/>
        <v>13476.895714285714</v>
      </c>
      <c r="N58" s="183">
        <f t="shared" si="15"/>
        <v>12719.538805103579</v>
      </c>
      <c r="O58" s="206">
        <f t="shared" si="16"/>
        <v>1.9475624999999999</v>
      </c>
      <c r="P58" s="206">
        <f t="shared" si="17"/>
        <v>20.124812500000001</v>
      </c>
      <c r="Q58" s="183">
        <f>P58*PkG_Pricing!D$9</f>
        <v>230.026606875</v>
      </c>
      <c r="R58" s="189">
        <f t="shared" si="18"/>
        <v>120.748875</v>
      </c>
      <c r="S58" s="183">
        <f t="shared" si="19"/>
        <v>2051.5233862499999</v>
      </c>
      <c r="T58" s="177"/>
      <c r="U58" s="190">
        <f t="shared" si="20"/>
        <v>25156.871999999999</v>
      </c>
      <c r="V58" s="177">
        <v>45.625</v>
      </c>
      <c r="W58" s="177">
        <v>0.18</v>
      </c>
      <c r="X58" s="177">
        <f t="shared" si="21"/>
        <v>0.72</v>
      </c>
      <c r="Y58" s="177">
        <v>5</v>
      </c>
      <c r="Z58" s="177">
        <f t="shared" si="22"/>
        <v>50</v>
      </c>
      <c r="AA58" s="190">
        <f t="shared" si="23"/>
        <v>35.761678277886496</v>
      </c>
      <c r="AB58" s="177"/>
      <c r="AC58" s="177"/>
      <c r="AD58" s="177"/>
    </row>
    <row r="59" spans="1:30" ht="12.75" customHeight="1">
      <c r="A59" s="177" t="s">
        <v>191</v>
      </c>
      <c r="B59" s="187">
        <v>0.85</v>
      </c>
      <c r="C59" s="183">
        <f t="shared" si="7"/>
        <v>1300</v>
      </c>
      <c r="D59" s="204">
        <v>1</v>
      </c>
      <c r="E59" s="190">
        <f t="shared" si="8"/>
        <v>10</v>
      </c>
      <c r="F59" s="190">
        <f t="shared" si="24"/>
        <v>8.5</v>
      </c>
      <c r="G59" s="190">
        <f t="shared" si="9"/>
        <v>8.2874999999999996</v>
      </c>
      <c r="H59" s="205">
        <v>0.76500000000000001</v>
      </c>
      <c r="I59" s="205">
        <f t="shared" si="10"/>
        <v>0.23499999999999999</v>
      </c>
      <c r="J59" s="206">
        <f t="shared" si="11"/>
        <v>6.3399374999999996</v>
      </c>
      <c r="K59" s="206">
        <f t="shared" si="12"/>
        <v>6.3399374999999996</v>
      </c>
      <c r="L59" s="189">
        <f t="shared" si="13"/>
        <v>1796.9194285714286</v>
      </c>
      <c r="M59" s="183">
        <f t="shared" si="14"/>
        <v>13476.895714285714</v>
      </c>
      <c r="N59" s="183">
        <f t="shared" si="15"/>
        <v>12656.4257293384</v>
      </c>
      <c r="O59" s="206">
        <f t="shared" si="16"/>
        <v>1.9475624999999999</v>
      </c>
      <c r="P59" s="206">
        <f t="shared" si="17"/>
        <v>20.124812500000001</v>
      </c>
      <c r="Q59" s="183">
        <f>P59*PkG_Pricing!D$9</f>
        <v>230.026606875</v>
      </c>
      <c r="R59" s="189">
        <f t="shared" si="18"/>
        <v>120.748875</v>
      </c>
      <c r="S59" s="183">
        <f t="shared" si="19"/>
        <v>2051.5233862499999</v>
      </c>
      <c r="T59" s="177"/>
      <c r="U59" s="190">
        <f t="shared" si="20"/>
        <v>25156.871999999999</v>
      </c>
      <c r="V59" s="177">
        <v>45.625</v>
      </c>
      <c r="W59" s="177">
        <v>0.18</v>
      </c>
      <c r="X59" s="177">
        <f t="shared" si="21"/>
        <v>0.72</v>
      </c>
      <c r="Y59" s="177">
        <v>5</v>
      </c>
      <c r="Z59" s="177">
        <f t="shared" si="22"/>
        <v>50</v>
      </c>
      <c r="AA59" s="190">
        <f t="shared" si="23"/>
        <v>35.761678277886496</v>
      </c>
      <c r="AB59" s="177"/>
      <c r="AC59" s="177"/>
      <c r="AD59" s="177"/>
    </row>
    <row r="60" spans="1:30" ht="12.75" customHeight="1">
      <c r="A60" s="177" t="s">
        <v>192</v>
      </c>
      <c r="B60" s="187">
        <v>0.85</v>
      </c>
      <c r="C60" s="183">
        <f t="shared" si="7"/>
        <v>1400</v>
      </c>
      <c r="D60" s="204">
        <v>1</v>
      </c>
      <c r="E60" s="190">
        <f t="shared" si="8"/>
        <v>10</v>
      </c>
      <c r="F60" s="190">
        <f t="shared" si="24"/>
        <v>8.5</v>
      </c>
      <c r="G60" s="190">
        <f t="shared" si="9"/>
        <v>8.2874999999999996</v>
      </c>
      <c r="H60" s="205">
        <v>0.76500000000000001</v>
      </c>
      <c r="I60" s="205">
        <f t="shared" si="10"/>
        <v>0.23499999999999999</v>
      </c>
      <c r="J60" s="206">
        <f t="shared" si="11"/>
        <v>6.3399374999999996</v>
      </c>
      <c r="K60" s="206">
        <f t="shared" si="12"/>
        <v>6.3399374999999996</v>
      </c>
      <c r="L60" s="189">
        <f t="shared" si="13"/>
        <v>1796.9194285714286</v>
      </c>
      <c r="M60" s="183">
        <f t="shared" si="14"/>
        <v>13476.895714285714</v>
      </c>
      <c r="N60" s="183">
        <f t="shared" si="15"/>
        <v>12593.312653573221</v>
      </c>
      <c r="O60" s="206">
        <f t="shared" si="16"/>
        <v>1.9475624999999999</v>
      </c>
      <c r="P60" s="206">
        <f t="shared" si="17"/>
        <v>20.124812500000001</v>
      </c>
      <c r="Q60" s="183">
        <f>P60*PkG_Pricing!D$9</f>
        <v>230.026606875</v>
      </c>
      <c r="R60" s="189">
        <f t="shared" si="18"/>
        <v>120.748875</v>
      </c>
      <c r="S60" s="183">
        <f t="shared" si="19"/>
        <v>2293.0211362499999</v>
      </c>
      <c r="T60" s="177"/>
      <c r="U60" s="190">
        <f t="shared" si="20"/>
        <v>25156.871999999999</v>
      </c>
      <c r="V60" s="177">
        <v>45.625</v>
      </c>
      <c r="W60" s="177">
        <v>0.18</v>
      </c>
      <c r="X60" s="177">
        <f t="shared" si="21"/>
        <v>0.72</v>
      </c>
      <c r="Y60" s="177">
        <v>5</v>
      </c>
      <c r="Z60" s="177">
        <f t="shared" si="22"/>
        <v>50</v>
      </c>
      <c r="AA60" s="190">
        <f t="shared" si="23"/>
        <v>35.761678277886496</v>
      </c>
      <c r="AB60" s="177"/>
      <c r="AC60" s="177"/>
      <c r="AD60" s="177"/>
    </row>
    <row r="61" spans="1:30" ht="12.75" customHeight="1">
      <c r="A61" s="177" t="s">
        <v>193</v>
      </c>
      <c r="B61" s="187">
        <v>0.85</v>
      </c>
      <c r="C61" s="183">
        <f t="shared" si="7"/>
        <v>1500</v>
      </c>
      <c r="D61" s="204">
        <v>1</v>
      </c>
      <c r="E61" s="190">
        <f t="shared" si="8"/>
        <v>10</v>
      </c>
      <c r="F61" s="190">
        <f t="shared" si="24"/>
        <v>8.5</v>
      </c>
      <c r="G61" s="190">
        <f t="shared" si="9"/>
        <v>8.2874999999999996</v>
      </c>
      <c r="H61" s="205">
        <v>0.76500000000000001</v>
      </c>
      <c r="I61" s="205">
        <f t="shared" si="10"/>
        <v>0.23499999999999999</v>
      </c>
      <c r="J61" s="206">
        <f t="shared" si="11"/>
        <v>6.3399374999999996</v>
      </c>
      <c r="K61" s="206">
        <f t="shared" si="12"/>
        <v>6.3399374999999996</v>
      </c>
      <c r="L61" s="189">
        <f t="shared" si="13"/>
        <v>1796.9194285714286</v>
      </c>
      <c r="M61" s="183">
        <f t="shared" si="14"/>
        <v>14375.355428571429</v>
      </c>
      <c r="N61" s="183">
        <f t="shared" si="15"/>
        <v>13428.659292093756</v>
      </c>
      <c r="O61" s="206">
        <f t="shared" si="16"/>
        <v>1.9475624999999999</v>
      </c>
      <c r="P61" s="206">
        <f t="shared" si="17"/>
        <v>20.124812500000001</v>
      </c>
      <c r="Q61" s="183">
        <f>P61*PkG_Pricing!D$9</f>
        <v>230.026606875</v>
      </c>
      <c r="R61" s="189">
        <f t="shared" si="18"/>
        <v>120.748875</v>
      </c>
      <c r="S61" s="183">
        <f t="shared" si="19"/>
        <v>2655.2677612499997</v>
      </c>
      <c r="T61" s="177"/>
      <c r="U61" s="190">
        <f t="shared" si="20"/>
        <v>25156.871999999999</v>
      </c>
      <c r="V61" s="177">
        <v>45.625</v>
      </c>
      <c r="W61" s="177">
        <v>0.18</v>
      </c>
      <c r="X61" s="177">
        <f t="shared" si="21"/>
        <v>0.72</v>
      </c>
      <c r="Y61" s="177">
        <v>5</v>
      </c>
      <c r="Z61" s="177">
        <f t="shared" si="22"/>
        <v>50</v>
      </c>
      <c r="AA61" s="190">
        <f t="shared" si="23"/>
        <v>35.761678277886496</v>
      </c>
      <c r="AB61" s="177"/>
      <c r="AC61" s="177"/>
      <c r="AD61" s="177"/>
    </row>
    <row r="62" spans="1:30" ht="12.75" customHeight="1">
      <c r="A62" s="177" t="s">
        <v>194</v>
      </c>
      <c r="B62" s="187">
        <v>0.85</v>
      </c>
      <c r="C62" s="183">
        <f t="shared" si="7"/>
        <v>1500</v>
      </c>
      <c r="D62" s="204">
        <v>1</v>
      </c>
      <c r="E62" s="190">
        <f t="shared" si="8"/>
        <v>10</v>
      </c>
      <c r="F62" s="190">
        <f t="shared" si="24"/>
        <v>8.5</v>
      </c>
      <c r="G62" s="190">
        <f t="shared" si="9"/>
        <v>8.2874999999999996</v>
      </c>
      <c r="H62" s="205">
        <v>0.65</v>
      </c>
      <c r="I62" s="205">
        <f t="shared" si="10"/>
        <v>0.35</v>
      </c>
      <c r="J62" s="206">
        <f t="shared" si="11"/>
        <v>5.3868749999999999</v>
      </c>
      <c r="K62" s="206">
        <f t="shared" si="12"/>
        <v>5.3868749999999999</v>
      </c>
      <c r="L62" s="189">
        <f t="shared" si="13"/>
        <v>1526.7942857142857</v>
      </c>
      <c r="M62" s="183">
        <f t="shared" si="14"/>
        <v>12214.354285714286</v>
      </c>
      <c r="N62" s="183">
        <f t="shared" si="15"/>
        <v>11409.971947530643</v>
      </c>
      <c r="O62" s="206">
        <f t="shared" si="16"/>
        <v>2.9006249999999998</v>
      </c>
      <c r="P62" s="206">
        <f t="shared" si="17"/>
        <v>29.973124999999996</v>
      </c>
      <c r="Q62" s="183">
        <f>P62*PkG_Pricing!D$9</f>
        <v>342.59281874999994</v>
      </c>
      <c r="R62" s="189">
        <f t="shared" si="18"/>
        <v>179.83874999999998</v>
      </c>
      <c r="S62" s="183">
        <f t="shared" si="19"/>
        <v>3954.654112499999</v>
      </c>
      <c r="T62" s="177"/>
      <c r="U62" s="190">
        <f t="shared" si="20"/>
        <v>21375.119999999999</v>
      </c>
      <c r="V62" s="177">
        <v>45.625</v>
      </c>
      <c r="W62" s="177">
        <v>0.18</v>
      </c>
      <c r="X62" s="177">
        <f t="shared" si="21"/>
        <v>0.72</v>
      </c>
      <c r="Y62" s="177">
        <v>5</v>
      </c>
      <c r="Z62" s="177">
        <f t="shared" si="22"/>
        <v>50</v>
      </c>
      <c r="AA62" s="190">
        <f t="shared" si="23"/>
        <v>29.841127201565559</v>
      </c>
      <c r="AB62" s="177"/>
      <c r="AC62" s="177"/>
      <c r="AD62" s="177"/>
    </row>
    <row r="63" spans="1:30" ht="12.75" customHeight="1">
      <c r="A63" s="177" t="s">
        <v>195</v>
      </c>
      <c r="B63" s="187">
        <v>0.85</v>
      </c>
      <c r="C63" s="183">
        <f t="shared" si="7"/>
        <v>1500</v>
      </c>
      <c r="D63" s="204">
        <v>1</v>
      </c>
      <c r="E63" s="190">
        <f t="shared" si="8"/>
        <v>10</v>
      </c>
      <c r="F63" s="190">
        <f t="shared" si="24"/>
        <v>8.5</v>
      </c>
      <c r="G63" s="190">
        <f t="shared" si="9"/>
        <v>8.2874999999999996</v>
      </c>
      <c r="H63" s="205">
        <v>0.65</v>
      </c>
      <c r="I63" s="205">
        <f t="shared" si="10"/>
        <v>0.35</v>
      </c>
      <c r="J63" s="206">
        <f t="shared" si="11"/>
        <v>5.3868749999999999</v>
      </c>
      <c r="K63" s="206">
        <f t="shared" si="12"/>
        <v>5.3868749999999999</v>
      </c>
      <c r="L63" s="189">
        <f t="shared" si="13"/>
        <v>1526.7942857142857</v>
      </c>
      <c r="M63" s="183">
        <f t="shared" si="14"/>
        <v>12214.354285714286</v>
      </c>
      <c r="N63" s="183">
        <f t="shared" si="15"/>
        <v>11409.971947530643</v>
      </c>
      <c r="O63" s="206">
        <f t="shared" si="16"/>
        <v>2.9006249999999998</v>
      </c>
      <c r="P63" s="206">
        <f t="shared" si="17"/>
        <v>29.973124999999996</v>
      </c>
      <c r="Q63" s="183">
        <f>P63*PkG_Pricing!D$9</f>
        <v>342.59281874999994</v>
      </c>
      <c r="R63" s="189">
        <f t="shared" si="18"/>
        <v>179.83874999999998</v>
      </c>
      <c r="S63" s="183">
        <f t="shared" si="19"/>
        <v>3954.654112499999</v>
      </c>
      <c r="T63" s="177"/>
      <c r="U63" s="190">
        <f t="shared" si="20"/>
        <v>21375.119999999999</v>
      </c>
      <c r="V63" s="177">
        <v>45.625</v>
      </c>
      <c r="W63" s="177">
        <v>0.18</v>
      </c>
      <c r="X63" s="177">
        <f t="shared" si="21"/>
        <v>0.72</v>
      </c>
      <c r="Y63" s="177">
        <v>5</v>
      </c>
      <c r="Z63" s="177">
        <f t="shared" si="22"/>
        <v>50</v>
      </c>
      <c r="AA63" s="190">
        <f t="shared" si="23"/>
        <v>29.841127201565559</v>
      </c>
      <c r="AB63" s="177"/>
      <c r="AC63" s="177"/>
      <c r="AD63" s="177"/>
    </row>
    <row r="64" spans="1:30" ht="12.75" customHeight="1">
      <c r="A64" s="177" t="s">
        <v>196</v>
      </c>
      <c r="B64" s="187">
        <v>0.8</v>
      </c>
      <c r="C64" s="183">
        <f t="shared" si="7"/>
        <v>1400</v>
      </c>
      <c r="D64" s="204">
        <v>1</v>
      </c>
      <c r="E64" s="190">
        <f t="shared" si="8"/>
        <v>10</v>
      </c>
      <c r="F64" s="190">
        <f t="shared" si="24"/>
        <v>8</v>
      </c>
      <c r="G64" s="190">
        <f t="shared" si="9"/>
        <v>7.8</v>
      </c>
      <c r="H64" s="205">
        <v>0.63</v>
      </c>
      <c r="I64" s="205">
        <f t="shared" si="10"/>
        <v>0.37</v>
      </c>
      <c r="J64" s="206">
        <f t="shared" si="11"/>
        <v>4.9139999999999997</v>
      </c>
      <c r="K64" s="206">
        <f t="shared" si="12"/>
        <v>4.9139999999999997</v>
      </c>
      <c r="L64" s="189">
        <f t="shared" si="13"/>
        <v>1624.896</v>
      </c>
      <c r="M64" s="183">
        <f t="shared" si="14"/>
        <v>13811.616</v>
      </c>
      <c r="N64" s="183">
        <f t="shared" si="15"/>
        <v>13126.762693426996</v>
      </c>
      <c r="O64" s="206">
        <f t="shared" si="16"/>
        <v>2.8860000000000001</v>
      </c>
      <c r="P64" s="206">
        <f t="shared" si="17"/>
        <v>29.822000000000003</v>
      </c>
      <c r="Q64" s="183">
        <f>P64*PkG_Pricing!D$9</f>
        <v>340.86546000000004</v>
      </c>
      <c r="R64" s="189">
        <f t="shared" si="18"/>
        <v>178.93200000000002</v>
      </c>
      <c r="S64" s="183">
        <f t="shared" si="19"/>
        <v>3397.9186800000002</v>
      </c>
      <c r="T64" s="177"/>
      <c r="U64" s="190">
        <f t="shared" si="20"/>
        <v>19498.752</v>
      </c>
      <c r="V64" s="177">
        <v>91.25</v>
      </c>
      <c r="W64" s="177">
        <v>0.18</v>
      </c>
      <c r="X64" s="177">
        <f t="shared" si="21"/>
        <v>0.72</v>
      </c>
      <c r="Y64" s="177">
        <v>10</v>
      </c>
      <c r="Z64" s="177">
        <f t="shared" si="22"/>
        <v>100</v>
      </c>
      <c r="AA64" s="190">
        <f t="shared" si="23"/>
        <v>9.4137461187214608</v>
      </c>
      <c r="AB64" s="177"/>
      <c r="AC64" s="177"/>
      <c r="AD64" s="177"/>
    </row>
    <row r="65" spans="1:30" ht="12.75" customHeight="1">
      <c r="A65" s="177" t="s">
        <v>197</v>
      </c>
      <c r="B65" s="187">
        <v>0.8</v>
      </c>
      <c r="C65" s="183">
        <f t="shared" si="7"/>
        <v>1500</v>
      </c>
      <c r="D65" s="204">
        <v>1</v>
      </c>
      <c r="E65" s="190">
        <f t="shared" si="8"/>
        <v>10</v>
      </c>
      <c r="F65" s="190">
        <f t="shared" si="24"/>
        <v>8</v>
      </c>
      <c r="G65" s="190">
        <f t="shared" si="9"/>
        <v>7.8</v>
      </c>
      <c r="H65" s="205">
        <v>0.63</v>
      </c>
      <c r="I65" s="205">
        <f t="shared" si="10"/>
        <v>0.37</v>
      </c>
      <c r="J65" s="206">
        <f t="shared" si="11"/>
        <v>4.9139999999999997</v>
      </c>
      <c r="K65" s="206">
        <f t="shared" si="12"/>
        <v>4.9139999999999997</v>
      </c>
      <c r="L65" s="189">
        <f t="shared" si="13"/>
        <v>1624.896</v>
      </c>
      <c r="M65" s="183">
        <f t="shared" si="14"/>
        <v>13811.616</v>
      </c>
      <c r="N65" s="183">
        <f t="shared" si="15"/>
        <v>13077.844600100352</v>
      </c>
      <c r="O65" s="206">
        <f t="shared" si="16"/>
        <v>2.8860000000000001</v>
      </c>
      <c r="P65" s="206">
        <f t="shared" si="17"/>
        <v>29.822000000000003</v>
      </c>
      <c r="Q65" s="183">
        <f>P65*PkG_Pricing!D$9</f>
        <v>340.86546000000004</v>
      </c>
      <c r="R65" s="189">
        <f t="shared" si="18"/>
        <v>178.93200000000002</v>
      </c>
      <c r="S65" s="183">
        <f t="shared" si="19"/>
        <v>3934.71468</v>
      </c>
      <c r="T65" s="177"/>
      <c r="U65" s="190">
        <f t="shared" si="20"/>
        <v>19498.752</v>
      </c>
      <c r="V65" s="177">
        <v>91.25</v>
      </c>
      <c r="W65" s="177">
        <v>0.18</v>
      </c>
      <c r="X65" s="177">
        <f t="shared" si="21"/>
        <v>0.72</v>
      </c>
      <c r="Y65" s="177">
        <v>10</v>
      </c>
      <c r="Z65" s="177">
        <f t="shared" si="22"/>
        <v>100</v>
      </c>
      <c r="AA65" s="190">
        <f t="shared" si="23"/>
        <v>9.4137461187214608</v>
      </c>
      <c r="AB65" s="177"/>
      <c r="AC65" s="177"/>
      <c r="AD65" s="177"/>
    </row>
    <row r="66" spans="1:30" ht="12.75" customHeight="1">
      <c r="A66" s="177" t="s">
        <v>198</v>
      </c>
      <c r="B66" s="187">
        <v>0.8</v>
      </c>
      <c r="C66" s="183">
        <f t="shared" si="7"/>
        <v>1600</v>
      </c>
      <c r="D66" s="204">
        <v>1</v>
      </c>
      <c r="E66" s="190">
        <f t="shared" si="8"/>
        <v>10</v>
      </c>
      <c r="F66" s="190">
        <f t="shared" si="24"/>
        <v>8</v>
      </c>
      <c r="G66" s="190">
        <f t="shared" si="9"/>
        <v>7.8</v>
      </c>
      <c r="H66" s="205">
        <v>0.63</v>
      </c>
      <c r="I66" s="205">
        <f t="shared" si="10"/>
        <v>0.37</v>
      </c>
      <c r="J66" s="206">
        <f t="shared" si="11"/>
        <v>4.9139999999999997</v>
      </c>
      <c r="K66" s="206">
        <f t="shared" si="12"/>
        <v>4.9139999999999997</v>
      </c>
      <c r="L66" s="189">
        <f t="shared" si="13"/>
        <v>1624.896</v>
      </c>
      <c r="M66" s="183">
        <f t="shared" si="14"/>
        <v>13811.616</v>
      </c>
      <c r="N66" s="183">
        <f t="shared" si="15"/>
        <v>13028.926506773709</v>
      </c>
      <c r="O66" s="206">
        <f t="shared" si="16"/>
        <v>2.8860000000000001</v>
      </c>
      <c r="P66" s="206">
        <f t="shared" si="17"/>
        <v>29.822000000000003</v>
      </c>
      <c r="Q66" s="183">
        <f>P66*PkG_Pricing!D$9</f>
        <v>340.86546000000004</v>
      </c>
      <c r="R66" s="189">
        <f t="shared" si="18"/>
        <v>178.93200000000002</v>
      </c>
      <c r="S66" s="183">
        <f t="shared" si="19"/>
        <v>3934.71468</v>
      </c>
      <c r="T66" s="177"/>
      <c r="U66" s="190">
        <f t="shared" si="20"/>
        <v>19498.752</v>
      </c>
      <c r="V66" s="177">
        <v>91.25</v>
      </c>
      <c r="W66" s="177">
        <v>0.18</v>
      </c>
      <c r="X66" s="177">
        <f t="shared" si="21"/>
        <v>0.72</v>
      </c>
      <c r="Y66" s="177">
        <v>10</v>
      </c>
      <c r="Z66" s="177">
        <f t="shared" si="22"/>
        <v>100</v>
      </c>
      <c r="AA66" s="190">
        <f t="shared" si="23"/>
        <v>9.4137461187214608</v>
      </c>
      <c r="AB66" s="177"/>
      <c r="AC66" s="177"/>
      <c r="AD66" s="177"/>
    </row>
    <row r="67" spans="1:30" ht="12.75" customHeight="1">
      <c r="A67" s="177" t="s">
        <v>199</v>
      </c>
      <c r="B67" s="187">
        <v>0.8</v>
      </c>
      <c r="C67" s="183">
        <f t="shared" si="7"/>
        <v>1700</v>
      </c>
      <c r="D67" s="204">
        <v>1</v>
      </c>
      <c r="E67" s="190">
        <f t="shared" si="8"/>
        <v>10</v>
      </c>
      <c r="F67" s="190">
        <f t="shared" si="24"/>
        <v>8</v>
      </c>
      <c r="G67" s="190">
        <f t="shared" si="9"/>
        <v>7.8</v>
      </c>
      <c r="H67" s="205">
        <v>0.63</v>
      </c>
      <c r="I67" s="205">
        <f t="shared" si="10"/>
        <v>0.37</v>
      </c>
      <c r="J67" s="206">
        <f t="shared" si="11"/>
        <v>4.9139999999999997</v>
      </c>
      <c r="K67" s="206">
        <f t="shared" si="12"/>
        <v>4.9139999999999997</v>
      </c>
      <c r="L67" s="189">
        <f t="shared" si="13"/>
        <v>1624.896</v>
      </c>
      <c r="M67" s="183">
        <f t="shared" si="14"/>
        <v>13811.616</v>
      </c>
      <c r="N67" s="183">
        <f t="shared" si="15"/>
        <v>12980.008413447065</v>
      </c>
      <c r="O67" s="206">
        <f t="shared" si="16"/>
        <v>2.8860000000000001</v>
      </c>
      <c r="P67" s="206">
        <f t="shared" si="17"/>
        <v>29.822000000000003</v>
      </c>
      <c r="Q67" s="183">
        <f>P67*PkG_Pricing!D$9</f>
        <v>340.86546000000004</v>
      </c>
      <c r="R67" s="189">
        <f t="shared" si="18"/>
        <v>178.93200000000002</v>
      </c>
      <c r="S67" s="183">
        <f t="shared" si="19"/>
        <v>4292.5786800000005</v>
      </c>
      <c r="T67" s="177"/>
      <c r="U67" s="190">
        <f t="shared" si="20"/>
        <v>19498.752</v>
      </c>
      <c r="V67" s="177">
        <v>91.25</v>
      </c>
      <c r="W67" s="177">
        <v>0.18</v>
      </c>
      <c r="X67" s="177">
        <f t="shared" si="21"/>
        <v>0.72</v>
      </c>
      <c r="Y67" s="177">
        <v>10</v>
      </c>
      <c r="Z67" s="177">
        <f t="shared" si="22"/>
        <v>100</v>
      </c>
      <c r="AA67" s="190">
        <f t="shared" si="23"/>
        <v>9.4137461187214608</v>
      </c>
      <c r="AB67" s="177"/>
      <c r="AC67" s="177"/>
      <c r="AD67" s="177"/>
    </row>
    <row r="68" spans="1:30" ht="12.75" customHeight="1">
      <c r="A68" s="177" t="s">
        <v>200</v>
      </c>
      <c r="B68" s="187">
        <v>0.9</v>
      </c>
      <c r="C68" s="183">
        <f t="shared" si="7"/>
        <v>750</v>
      </c>
      <c r="D68" s="204">
        <v>1</v>
      </c>
      <c r="E68" s="190">
        <f t="shared" si="8"/>
        <v>10</v>
      </c>
      <c r="F68" s="190">
        <f t="shared" si="24"/>
        <v>9</v>
      </c>
      <c r="G68" s="190">
        <f t="shared" si="9"/>
        <v>8.7750000000000004</v>
      </c>
      <c r="H68" s="205">
        <v>0.78</v>
      </c>
      <c r="I68" s="205">
        <f t="shared" si="10"/>
        <v>0.21999999999999997</v>
      </c>
      <c r="J68" s="206">
        <f t="shared" si="11"/>
        <v>6.8445000000000009</v>
      </c>
      <c r="K68" s="206">
        <f t="shared" si="12"/>
        <v>6.8445000000000009</v>
      </c>
      <c r="L68" s="189">
        <f t="shared" si="13"/>
        <v>1697.4360000000001</v>
      </c>
      <c r="M68" s="183">
        <f t="shared" si="14"/>
        <v>11882.052000000001</v>
      </c>
      <c r="N68" s="183">
        <f t="shared" si="15"/>
        <v>11371.032632212746</v>
      </c>
      <c r="O68" s="206">
        <f t="shared" si="16"/>
        <v>1.9304999999999999</v>
      </c>
      <c r="P68" s="206">
        <f t="shared" si="17"/>
        <v>19.948499999999999</v>
      </c>
      <c r="Q68" s="183">
        <f>P68*PkG_Pricing!D$9</f>
        <v>228.01135499999998</v>
      </c>
      <c r="R68" s="189">
        <f t="shared" si="18"/>
        <v>119.691</v>
      </c>
      <c r="S68" s="183">
        <f t="shared" si="19"/>
        <v>1554.7860900000001</v>
      </c>
      <c r="T68" s="177"/>
      <c r="U68" s="190">
        <f t="shared" si="20"/>
        <v>27158.976000000002</v>
      </c>
      <c r="V68" s="177">
        <v>91.25</v>
      </c>
      <c r="W68" s="177">
        <v>0.18</v>
      </c>
      <c r="X68" s="177">
        <f t="shared" si="21"/>
        <v>0.72</v>
      </c>
      <c r="Y68" s="177">
        <v>3</v>
      </c>
      <c r="Z68" s="177">
        <f t="shared" si="22"/>
        <v>30</v>
      </c>
      <c r="AA68" s="190">
        <f t="shared" si="23"/>
        <v>16.682038356164384</v>
      </c>
      <c r="AB68" s="177"/>
      <c r="AC68" s="177"/>
      <c r="AD68" s="177"/>
    </row>
    <row r="69" spans="1:30" ht="12.75" customHeight="1">
      <c r="A69" s="177" t="s">
        <v>201</v>
      </c>
      <c r="B69" s="187">
        <v>0.9</v>
      </c>
      <c r="C69" s="183">
        <f t="shared" si="7"/>
        <v>800</v>
      </c>
      <c r="D69" s="204">
        <v>1</v>
      </c>
      <c r="E69" s="190">
        <f t="shared" si="8"/>
        <v>10</v>
      </c>
      <c r="F69" s="190">
        <f t="shared" si="24"/>
        <v>9</v>
      </c>
      <c r="G69" s="190">
        <f t="shared" si="9"/>
        <v>8.7750000000000004</v>
      </c>
      <c r="H69" s="205">
        <v>0.78</v>
      </c>
      <c r="I69" s="205">
        <f t="shared" si="10"/>
        <v>0.21999999999999997</v>
      </c>
      <c r="J69" s="206">
        <f t="shared" si="11"/>
        <v>6.8445000000000009</v>
      </c>
      <c r="K69" s="206">
        <f t="shared" si="12"/>
        <v>6.8445000000000009</v>
      </c>
      <c r="L69" s="189">
        <f t="shared" si="13"/>
        <v>1697.4360000000001</v>
      </c>
      <c r="M69" s="183">
        <f t="shared" si="14"/>
        <v>11882.052000000001</v>
      </c>
      <c r="N69" s="183">
        <f t="shared" si="15"/>
        <v>11336.964674360261</v>
      </c>
      <c r="O69" s="206">
        <f t="shared" si="16"/>
        <v>1.9304999999999999</v>
      </c>
      <c r="P69" s="206">
        <f t="shared" si="17"/>
        <v>19.948499999999999</v>
      </c>
      <c r="Q69" s="183">
        <f>P69*PkG_Pricing!D$9</f>
        <v>228.01135499999998</v>
      </c>
      <c r="R69" s="189">
        <f t="shared" si="18"/>
        <v>119.691</v>
      </c>
      <c r="S69" s="183">
        <f t="shared" si="19"/>
        <v>1554.7860900000001</v>
      </c>
      <c r="T69" s="177"/>
      <c r="U69" s="190">
        <f t="shared" si="20"/>
        <v>27158.976000000002</v>
      </c>
      <c r="V69" s="177">
        <v>91.25</v>
      </c>
      <c r="W69" s="177">
        <v>0.18</v>
      </c>
      <c r="X69" s="177">
        <f t="shared" si="21"/>
        <v>0.72</v>
      </c>
      <c r="Y69" s="177">
        <v>3</v>
      </c>
      <c r="Z69" s="177">
        <f t="shared" si="22"/>
        <v>30</v>
      </c>
      <c r="AA69" s="190">
        <f t="shared" si="23"/>
        <v>16.682038356164384</v>
      </c>
      <c r="AB69" s="177"/>
      <c r="AC69" s="177"/>
      <c r="AD69" s="177"/>
    </row>
    <row r="70" spans="1:30" ht="12.75" customHeight="1">
      <c r="A70" s="177" t="s">
        <v>202</v>
      </c>
      <c r="B70" s="187">
        <v>0.9</v>
      </c>
      <c r="C70" s="183">
        <f t="shared" si="7"/>
        <v>750</v>
      </c>
      <c r="D70" s="204">
        <v>1</v>
      </c>
      <c r="E70" s="190">
        <f t="shared" si="8"/>
        <v>10</v>
      </c>
      <c r="F70" s="190">
        <f t="shared" si="24"/>
        <v>9</v>
      </c>
      <c r="G70" s="190">
        <f t="shared" si="9"/>
        <v>8.7750000000000004</v>
      </c>
      <c r="H70" s="205">
        <v>0.78</v>
      </c>
      <c r="I70" s="205">
        <f t="shared" si="10"/>
        <v>0.21999999999999997</v>
      </c>
      <c r="J70" s="206">
        <f t="shared" si="11"/>
        <v>6.8445000000000009</v>
      </c>
      <c r="K70" s="206">
        <f t="shared" si="12"/>
        <v>6.8445000000000009</v>
      </c>
      <c r="L70" s="189">
        <f t="shared" si="13"/>
        <v>1697.4360000000001</v>
      </c>
      <c r="M70" s="183">
        <f t="shared" si="14"/>
        <v>11882.052000000001</v>
      </c>
      <c r="N70" s="183">
        <f t="shared" si="15"/>
        <v>11371.032632212746</v>
      </c>
      <c r="O70" s="206">
        <f t="shared" si="16"/>
        <v>1.9304999999999999</v>
      </c>
      <c r="P70" s="206">
        <f t="shared" si="17"/>
        <v>19.948499999999999</v>
      </c>
      <c r="Q70" s="183">
        <f>P70*PkG_Pricing!D$9</f>
        <v>228.01135499999998</v>
      </c>
      <c r="R70" s="189">
        <f t="shared" si="18"/>
        <v>119.691</v>
      </c>
      <c r="S70" s="183">
        <f t="shared" si="19"/>
        <v>1794.1680900000001</v>
      </c>
      <c r="T70" s="177"/>
      <c r="U70" s="190">
        <f t="shared" si="20"/>
        <v>27158.976000000002</v>
      </c>
      <c r="V70" s="177">
        <v>91.25</v>
      </c>
      <c r="W70" s="177">
        <v>0.18</v>
      </c>
      <c r="X70" s="177">
        <f t="shared" si="21"/>
        <v>0.72</v>
      </c>
      <c r="Y70" s="177">
        <v>3</v>
      </c>
      <c r="Z70" s="177">
        <f t="shared" si="22"/>
        <v>30</v>
      </c>
      <c r="AA70" s="190">
        <f t="shared" si="23"/>
        <v>16.682038356164384</v>
      </c>
      <c r="AB70" s="177"/>
      <c r="AC70" s="177"/>
      <c r="AD70" s="177"/>
    </row>
    <row r="71" spans="1:30" ht="12.75" customHeight="1">
      <c r="A71" s="177" t="s">
        <v>203</v>
      </c>
      <c r="B71" s="187">
        <v>0.9</v>
      </c>
      <c r="C71" s="183">
        <f t="shared" si="7"/>
        <v>900</v>
      </c>
      <c r="D71" s="204">
        <v>1</v>
      </c>
      <c r="E71" s="190">
        <f t="shared" si="8"/>
        <v>10</v>
      </c>
      <c r="F71" s="190">
        <f t="shared" si="24"/>
        <v>9</v>
      </c>
      <c r="G71" s="190">
        <f t="shared" si="9"/>
        <v>8.7750000000000004</v>
      </c>
      <c r="H71" s="205">
        <v>0.67</v>
      </c>
      <c r="I71" s="205">
        <f t="shared" si="10"/>
        <v>0.32999999999999996</v>
      </c>
      <c r="J71" s="206">
        <f t="shared" si="11"/>
        <v>5.8792500000000008</v>
      </c>
      <c r="K71" s="206">
        <f t="shared" si="12"/>
        <v>5.8792500000000008</v>
      </c>
      <c r="L71" s="189">
        <f t="shared" si="13"/>
        <v>1666.3474285714287</v>
      </c>
      <c r="M71" s="183">
        <f t="shared" si="14"/>
        <v>13330.77942857143</v>
      </c>
      <c r="N71" s="183">
        <f t="shared" si="15"/>
        <v>12804.036387929182</v>
      </c>
      <c r="O71" s="206">
        <f t="shared" si="16"/>
        <v>2.8957499999999996</v>
      </c>
      <c r="P71" s="206">
        <f t="shared" si="17"/>
        <v>29.922749999999997</v>
      </c>
      <c r="Q71" s="183">
        <f>P71*PkG_Pricing!D$9</f>
        <v>342.01703249999997</v>
      </c>
      <c r="R71" s="189">
        <f t="shared" si="18"/>
        <v>179.53649999999999</v>
      </c>
      <c r="S71" s="183">
        <f t="shared" si="19"/>
        <v>2691.2521349999997</v>
      </c>
      <c r="T71" s="177"/>
      <c r="U71" s="190">
        <f t="shared" si="20"/>
        <v>23328.864000000001</v>
      </c>
      <c r="V71" s="177">
        <v>91.25</v>
      </c>
      <c r="W71" s="177">
        <v>0.18</v>
      </c>
      <c r="X71" s="177">
        <f t="shared" si="21"/>
        <v>0.72</v>
      </c>
      <c r="Y71" s="177">
        <v>3</v>
      </c>
      <c r="Z71" s="177">
        <f t="shared" si="22"/>
        <v>30</v>
      </c>
      <c r="AA71" s="190">
        <f t="shared" si="23"/>
        <v>16.067055968688845</v>
      </c>
      <c r="AB71" s="177"/>
      <c r="AC71" s="177"/>
      <c r="AD71" s="177"/>
    </row>
    <row r="72" spans="1:30" ht="12.75" customHeight="1">
      <c r="A72" s="177" t="s">
        <v>204</v>
      </c>
      <c r="B72" s="187">
        <v>0.87</v>
      </c>
      <c r="C72" s="183">
        <f t="shared" si="7"/>
        <v>800</v>
      </c>
      <c r="D72" s="204">
        <v>1</v>
      </c>
      <c r="E72" s="190">
        <f t="shared" si="8"/>
        <v>10</v>
      </c>
      <c r="F72" s="190">
        <f t="shared" si="24"/>
        <v>8.6999999999999993</v>
      </c>
      <c r="G72" s="190">
        <f t="shared" si="9"/>
        <v>8.4824999999999999</v>
      </c>
      <c r="H72" s="205">
        <v>0.54</v>
      </c>
      <c r="I72" s="205">
        <f t="shared" si="10"/>
        <v>0.45999999999999996</v>
      </c>
      <c r="J72" s="206">
        <f t="shared" si="11"/>
        <v>4.5805500000000006</v>
      </c>
      <c r="K72" s="206">
        <f t="shared" si="12"/>
        <v>4.5805500000000006</v>
      </c>
      <c r="L72" s="189">
        <f t="shared" si="13"/>
        <v>1298.258742857143</v>
      </c>
      <c r="M72" s="183">
        <f t="shared" si="14"/>
        <v>9736.9405714285731</v>
      </c>
      <c r="N72" s="183">
        <f t="shared" si="15"/>
        <v>9372.1513611927476</v>
      </c>
      <c r="O72" s="206">
        <f t="shared" si="16"/>
        <v>3.9019499999999998</v>
      </c>
      <c r="P72" s="206">
        <f t="shared" si="17"/>
        <v>40.320149999999998</v>
      </c>
      <c r="Q72" s="183">
        <f>P72*PkG_Pricing!D$9</f>
        <v>460.85931449999998</v>
      </c>
      <c r="R72" s="189">
        <f t="shared" si="18"/>
        <v>241.92089999999999</v>
      </c>
      <c r="S72" s="183">
        <f t="shared" si="19"/>
        <v>4594.077890999999</v>
      </c>
      <c r="T72" s="177"/>
      <c r="U72" s="190">
        <f t="shared" si="20"/>
        <v>18175.622400000004</v>
      </c>
      <c r="V72" s="177">
        <v>90</v>
      </c>
      <c r="W72" s="177">
        <v>0.18</v>
      </c>
      <c r="X72" s="177">
        <f t="shared" si="21"/>
        <v>0.72</v>
      </c>
      <c r="Y72" s="177">
        <v>2</v>
      </c>
      <c r="Z72" s="177">
        <f t="shared" si="22"/>
        <v>20</v>
      </c>
      <c r="AA72" s="190">
        <f t="shared" si="23"/>
        <v>12.945097142857147</v>
      </c>
      <c r="AB72" s="177"/>
      <c r="AC72" s="177"/>
      <c r="AD72" s="177"/>
    </row>
    <row r="73" spans="1:30" ht="12.75" customHeight="1">
      <c r="A73" s="177" t="s">
        <v>205</v>
      </c>
      <c r="B73" s="187">
        <v>0.87</v>
      </c>
      <c r="C73" s="183">
        <f t="shared" si="7"/>
        <v>1200</v>
      </c>
      <c r="D73" s="204">
        <v>1</v>
      </c>
      <c r="E73" s="190">
        <f t="shared" si="8"/>
        <v>10</v>
      </c>
      <c r="F73" s="190">
        <f t="shared" si="24"/>
        <v>8.6999999999999993</v>
      </c>
      <c r="G73" s="190">
        <f t="shared" si="9"/>
        <v>8.4824999999999999</v>
      </c>
      <c r="H73" s="205">
        <v>0.54</v>
      </c>
      <c r="I73" s="205">
        <f t="shared" si="10"/>
        <v>0.45999999999999996</v>
      </c>
      <c r="J73" s="206">
        <f t="shared" si="11"/>
        <v>4.5805500000000006</v>
      </c>
      <c r="K73" s="206">
        <f t="shared" si="12"/>
        <v>4.5805500000000006</v>
      </c>
      <c r="L73" s="189">
        <f t="shared" si="13"/>
        <v>1298.258742857143</v>
      </c>
      <c r="M73" s="183">
        <f t="shared" si="14"/>
        <v>10386.069942857144</v>
      </c>
      <c r="N73" s="183">
        <f t="shared" si="15"/>
        <v>9838.8861275034069</v>
      </c>
      <c r="O73" s="206">
        <f t="shared" si="16"/>
        <v>3.9019499999999998</v>
      </c>
      <c r="P73" s="206">
        <f t="shared" si="17"/>
        <v>40.320149999999998</v>
      </c>
      <c r="Q73" s="183">
        <f>P73*PkG_Pricing!D$9</f>
        <v>460.85931449999998</v>
      </c>
      <c r="R73" s="189">
        <f t="shared" si="18"/>
        <v>241.92089999999999</v>
      </c>
      <c r="S73" s="183">
        <f t="shared" si="19"/>
        <v>4594.077890999999</v>
      </c>
      <c r="T73" s="177"/>
      <c r="U73" s="190">
        <f t="shared" si="20"/>
        <v>18175.622400000004</v>
      </c>
      <c r="V73" s="177">
        <v>60</v>
      </c>
      <c r="W73" s="177">
        <v>0.18</v>
      </c>
      <c r="X73" s="177">
        <f t="shared" si="21"/>
        <v>0.72</v>
      </c>
      <c r="Y73" s="177">
        <v>2</v>
      </c>
      <c r="Z73" s="177">
        <f t="shared" si="22"/>
        <v>20</v>
      </c>
      <c r="AA73" s="190">
        <f t="shared" si="23"/>
        <v>20.157645714285717</v>
      </c>
      <c r="AB73" s="177"/>
      <c r="AC73" s="177"/>
      <c r="AD73" s="177"/>
    </row>
    <row r="74" spans="1:30" ht="12.75" customHeight="1">
      <c r="A74" s="177" t="s">
        <v>206</v>
      </c>
      <c r="B74" s="187">
        <v>0.8</v>
      </c>
      <c r="C74" s="183">
        <f t="shared" si="7"/>
        <v>1500</v>
      </c>
      <c r="D74" s="204">
        <v>4</v>
      </c>
      <c r="E74" s="190">
        <f t="shared" si="8"/>
        <v>40</v>
      </c>
      <c r="F74" s="190">
        <f t="shared" si="24"/>
        <v>32</v>
      </c>
      <c r="G74" s="190">
        <f t="shared" si="9"/>
        <v>31.2</v>
      </c>
      <c r="H74" s="205">
        <v>0.4</v>
      </c>
      <c r="I74" s="205">
        <f t="shared" si="10"/>
        <v>0.6</v>
      </c>
      <c r="J74" s="206">
        <f t="shared" si="11"/>
        <v>12.48</v>
      </c>
      <c r="K74" s="206">
        <f t="shared" si="12"/>
        <v>3.12</v>
      </c>
      <c r="L74" s="189">
        <f t="shared" si="13"/>
        <v>3537.1885714285713</v>
      </c>
      <c r="M74" s="183">
        <f t="shared" si="14"/>
        <v>28297.508571428571</v>
      </c>
      <c r="N74" s="183">
        <f t="shared" si="15"/>
        <v>26433.962158985018</v>
      </c>
      <c r="O74" s="206">
        <f t="shared" si="16"/>
        <v>18.72</v>
      </c>
      <c r="P74" s="206">
        <f t="shared" si="17"/>
        <v>193.43999999999997</v>
      </c>
      <c r="Q74" s="183">
        <f>P74*PkG_Pricing!D$9</f>
        <v>2211.0191999999997</v>
      </c>
      <c r="R74" s="189">
        <f t="shared" si="18"/>
        <v>1160.6399999999999</v>
      </c>
      <c r="S74" s="183">
        <f t="shared" si="19"/>
        <v>25522.473599999994</v>
      </c>
      <c r="T74" s="177"/>
      <c r="U74" s="190">
        <f t="shared" si="20"/>
        <v>49520.639999999999</v>
      </c>
      <c r="V74" s="177">
        <v>91.25</v>
      </c>
      <c r="W74" s="177">
        <v>0.18</v>
      </c>
      <c r="X74" s="177">
        <f t="shared" si="21"/>
        <v>0.72</v>
      </c>
      <c r="Y74" s="177">
        <v>6</v>
      </c>
      <c r="Z74" s="177">
        <f t="shared" si="22"/>
        <v>60</v>
      </c>
      <c r="AA74" s="190">
        <f t="shared" si="23"/>
        <v>34.426567514677103</v>
      </c>
      <c r="AB74" s="177"/>
      <c r="AC74" s="177"/>
      <c r="AD74" s="177"/>
    </row>
    <row r="75" spans="1:30" ht="12.75" customHeight="1">
      <c r="A75" s="177" t="s">
        <v>207</v>
      </c>
      <c r="B75" s="187">
        <v>0.8</v>
      </c>
      <c r="C75" s="183">
        <f t="shared" si="7"/>
        <v>1500</v>
      </c>
      <c r="D75" s="204">
        <v>2</v>
      </c>
      <c r="E75" s="190">
        <f t="shared" si="8"/>
        <v>20</v>
      </c>
      <c r="F75" s="190">
        <f t="shared" si="24"/>
        <v>16</v>
      </c>
      <c r="G75" s="190">
        <f t="shared" si="9"/>
        <v>15.6</v>
      </c>
      <c r="H75" s="205">
        <v>0.4</v>
      </c>
      <c r="I75" s="205">
        <f t="shared" si="10"/>
        <v>0.6</v>
      </c>
      <c r="J75" s="206">
        <f t="shared" si="11"/>
        <v>6.24</v>
      </c>
      <c r="K75" s="206">
        <f t="shared" si="12"/>
        <v>3.12</v>
      </c>
      <c r="L75" s="189">
        <f t="shared" si="13"/>
        <v>1768.5942857142857</v>
      </c>
      <c r="M75" s="183">
        <f t="shared" si="14"/>
        <v>14148.754285714285</v>
      </c>
      <c r="N75" s="183">
        <f t="shared" si="15"/>
        <v>13216.981079492509</v>
      </c>
      <c r="O75" s="206">
        <f t="shared" si="16"/>
        <v>9.36</v>
      </c>
      <c r="P75" s="206">
        <f t="shared" si="17"/>
        <v>96.719999999999985</v>
      </c>
      <c r="Q75" s="183">
        <f>P75*PkG_Pricing!D$9</f>
        <v>1105.5095999999999</v>
      </c>
      <c r="R75" s="189">
        <f t="shared" si="18"/>
        <v>580.31999999999994</v>
      </c>
      <c r="S75" s="183">
        <f t="shared" si="19"/>
        <v>12761.236799999997</v>
      </c>
      <c r="T75" s="177"/>
      <c r="U75" s="190">
        <f t="shared" si="20"/>
        <v>24760.32</v>
      </c>
      <c r="V75" s="177">
        <v>91.25</v>
      </c>
      <c r="W75" s="177">
        <v>0.18</v>
      </c>
      <c r="X75" s="177">
        <f t="shared" si="21"/>
        <v>0.72</v>
      </c>
      <c r="Y75" s="177">
        <v>6</v>
      </c>
      <c r="Z75" s="177">
        <f t="shared" si="22"/>
        <v>60</v>
      </c>
      <c r="AA75" s="190">
        <f t="shared" si="23"/>
        <v>15.044712328767123</v>
      </c>
      <c r="AB75" s="177"/>
      <c r="AC75" s="177"/>
      <c r="AD75" s="177"/>
    </row>
    <row r="76" spans="1:30" ht="12.75" customHeight="1">
      <c r="A76" s="177" t="s">
        <v>208</v>
      </c>
      <c r="B76" s="187">
        <v>0.7</v>
      </c>
      <c r="C76" s="183">
        <f t="shared" si="7"/>
        <v>1750</v>
      </c>
      <c r="D76" s="204">
        <v>1</v>
      </c>
      <c r="E76" s="190">
        <f t="shared" si="8"/>
        <v>10</v>
      </c>
      <c r="F76" s="190">
        <f t="shared" si="24"/>
        <v>7</v>
      </c>
      <c r="G76" s="190">
        <f t="shared" si="9"/>
        <v>6.8250000000000002</v>
      </c>
      <c r="H76" s="205">
        <v>0.15</v>
      </c>
      <c r="I76" s="205">
        <f t="shared" si="10"/>
        <v>0.85</v>
      </c>
      <c r="J76" s="206">
        <f t="shared" si="11"/>
        <v>1.0237499999999999</v>
      </c>
      <c r="K76" s="206">
        <f t="shared" si="12"/>
        <v>1.0237499999999999</v>
      </c>
      <c r="L76" s="189">
        <f t="shared" si="13"/>
        <v>406.22399999999999</v>
      </c>
      <c r="M76" s="183">
        <f t="shared" si="14"/>
        <v>3656.0160000000001</v>
      </c>
      <c r="N76" s="183">
        <f t="shared" si="15"/>
        <v>3477.6687847466133</v>
      </c>
      <c r="O76" s="206">
        <f t="shared" si="16"/>
        <v>5.8012499999999996</v>
      </c>
      <c r="P76" s="206">
        <f t="shared" si="17"/>
        <v>59.946249999999992</v>
      </c>
      <c r="Q76" s="183">
        <f>P76*PkG_Pricing!D$9</f>
        <v>685.18563749999987</v>
      </c>
      <c r="R76" s="189">
        <f t="shared" si="18"/>
        <v>359.67749999999995</v>
      </c>
      <c r="S76" s="183">
        <f t="shared" si="19"/>
        <v>8628.6632249999984</v>
      </c>
      <c r="T76" s="177"/>
      <c r="U76" s="190">
        <f t="shared" si="20"/>
        <v>4062.24</v>
      </c>
      <c r="V76" s="177">
        <v>60</v>
      </c>
      <c r="W76" s="177">
        <v>0.18</v>
      </c>
      <c r="X76" s="177">
        <f t="shared" si="21"/>
        <v>0.72</v>
      </c>
      <c r="Y76" s="177">
        <v>5</v>
      </c>
      <c r="Z76" s="177">
        <f t="shared" si="22"/>
        <v>50</v>
      </c>
      <c r="AA76" s="207">
        <f t="shared" si="23"/>
        <v>1.6983999999999999</v>
      </c>
      <c r="AB76" s="177"/>
      <c r="AC76" s="177"/>
      <c r="AD76" s="177"/>
    </row>
    <row r="77" spans="1:30" ht="12.75" customHeight="1">
      <c r="A77" s="177" t="s">
        <v>209</v>
      </c>
      <c r="B77" s="187">
        <v>0.7</v>
      </c>
      <c r="C77" s="183">
        <f t="shared" si="7"/>
        <v>2000</v>
      </c>
      <c r="D77" s="204">
        <v>1</v>
      </c>
      <c r="E77" s="190">
        <f t="shared" si="8"/>
        <v>10</v>
      </c>
      <c r="F77" s="190">
        <f t="shared" si="24"/>
        <v>7</v>
      </c>
      <c r="G77" s="190">
        <f t="shared" si="9"/>
        <v>6.8250000000000002</v>
      </c>
      <c r="H77" s="205">
        <v>0.15</v>
      </c>
      <c r="I77" s="205">
        <f t="shared" si="10"/>
        <v>0.85</v>
      </c>
      <c r="J77" s="206">
        <f t="shared" si="11"/>
        <v>1.0237499999999999</v>
      </c>
      <c r="K77" s="206">
        <f t="shared" si="12"/>
        <v>1.0237499999999999</v>
      </c>
      <c r="L77" s="189">
        <f t="shared" si="13"/>
        <v>406.22399999999999</v>
      </c>
      <c r="M77" s="183">
        <f t="shared" si="14"/>
        <v>3656.0160000000001</v>
      </c>
      <c r="N77" s="183">
        <f t="shared" si="15"/>
        <v>3452.1906111389862</v>
      </c>
      <c r="O77" s="206">
        <f t="shared" si="16"/>
        <v>5.8012499999999996</v>
      </c>
      <c r="P77" s="206">
        <f t="shared" si="17"/>
        <v>59.946249999999992</v>
      </c>
      <c r="Q77" s="183">
        <f>P77*PkG_Pricing!D$9</f>
        <v>685.18563749999987</v>
      </c>
      <c r="R77" s="189">
        <f t="shared" si="18"/>
        <v>359.67749999999995</v>
      </c>
      <c r="S77" s="183">
        <f t="shared" si="19"/>
        <v>8628.6632249999984</v>
      </c>
      <c r="T77" s="177"/>
      <c r="U77" s="190">
        <f t="shared" si="20"/>
        <v>4062.24</v>
      </c>
      <c r="V77" s="177">
        <v>60</v>
      </c>
      <c r="W77" s="177">
        <v>0.18</v>
      </c>
      <c r="X77" s="177">
        <f t="shared" si="21"/>
        <v>0.72</v>
      </c>
      <c r="Y77" s="177">
        <v>5</v>
      </c>
      <c r="Z77" s="177">
        <f t="shared" si="22"/>
        <v>50</v>
      </c>
      <c r="AA77" s="207">
        <f t="shared" si="23"/>
        <v>1.6983999999999999</v>
      </c>
      <c r="AB77" s="177"/>
      <c r="AC77" s="177"/>
      <c r="AD77" s="177"/>
    </row>
    <row r="78" spans="1:30" ht="12.75" customHeight="1">
      <c r="A78" s="172" t="s">
        <v>220</v>
      </c>
      <c r="B78" s="208"/>
      <c r="C78" s="209">
        <f>SUM(C42:C77)</f>
        <v>42000</v>
      </c>
      <c r="D78" s="210">
        <f>SUM(D42:D77)</f>
        <v>58</v>
      </c>
      <c r="E78" s="211">
        <f>SUM(E42:E77)</f>
        <v>580</v>
      </c>
      <c r="F78" s="211">
        <f>SUM(F42:F77)</f>
        <v>495.2</v>
      </c>
      <c r="G78" s="211">
        <f>SUM(G42:G77)</f>
        <v>482.82000000000016</v>
      </c>
      <c r="H78" s="211"/>
      <c r="I78" s="211"/>
      <c r="J78" s="211">
        <f>SUM(J42:J77)</f>
        <v>320.0135249999999</v>
      </c>
      <c r="K78" s="211"/>
      <c r="L78" s="212">
        <f t="shared" ref="L78:S78" si="25">SUM(L42:L77)</f>
        <v>88603.76422857141</v>
      </c>
      <c r="M78" s="209">
        <f t="shared" si="25"/>
        <v>667404.4542285715</v>
      </c>
      <c r="N78" s="209">
        <f t="shared" si="25"/>
        <v>636347.98009911831</v>
      </c>
      <c r="O78" s="211">
        <f t="shared" si="25"/>
        <v>162.80647500000003</v>
      </c>
      <c r="P78" s="211">
        <f t="shared" si="25"/>
        <v>1682.3335749999997</v>
      </c>
      <c r="Q78" s="209">
        <f t="shared" si="25"/>
        <v>19229.072762250005</v>
      </c>
      <c r="R78" s="213">
        <f t="shared" si="25"/>
        <v>10094.001449999996</v>
      </c>
      <c r="S78" s="209">
        <f t="shared" si="25"/>
        <v>184079.41966049993</v>
      </c>
      <c r="T78" s="172"/>
      <c r="U78" s="190">
        <f t="shared" si="20"/>
        <v>1269813.6671999996</v>
      </c>
      <c r="V78" s="172"/>
      <c r="W78" s="172"/>
      <c r="X78" s="177">
        <f t="shared" si="21"/>
        <v>0</v>
      </c>
      <c r="Y78" s="172"/>
      <c r="Z78" s="177">
        <f t="shared" si="22"/>
        <v>0</v>
      </c>
      <c r="AA78" s="190"/>
      <c r="AB78" s="172"/>
      <c r="AC78" s="172"/>
      <c r="AD78" s="172"/>
    </row>
    <row r="79" spans="1:30" ht="12.75" customHeight="1">
      <c r="A79" s="177"/>
      <c r="B79" s="172" t="s">
        <v>366</v>
      </c>
      <c r="C79" s="183">
        <f>C78/52</f>
        <v>807.69230769230774</v>
      </c>
      <c r="D79" s="190">
        <f>D78/52</f>
        <v>1.1153846153846154</v>
      </c>
      <c r="E79" s="190">
        <f>E78/52</f>
        <v>11.153846153846153</v>
      </c>
      <c r="F79" s="190">
        <f>F78/52</f>
        <v>9.523076923076923</v>
      </c>
      <c r="G79" s="190">
        <f>G78/52</f>
        <v>9.2850000000000037</v>
      </c>
      <c r="H79" s="185"/>
      <c r="I79" s="183"/>
      <c r="J79" s="190">
        <f>J78/52</f>
        <v>6.1541062499999981</v>
      </c>
      <c r="K79" s="190"/>
      <c r="L79" s="190">
        <f t="shared" ref="L79:S79" si="26">L78/52</f>
        <v>1703.9185428571425</v>
      </c>
      <c r="M79" s="183">
        <f t="shared" si="26"/>
        <v>12834.701042857145</v>
      </c>
      <c r="N79" s="183">
        <f t="shared" si="26"/>
        <v>12237.461155752275</v>
      </c>
      <c r="O79" s="190">
        <f t="shared" si="26"/>
        <v>3.1308937500000007</v>
      </c>
      <c r="P79" s="190">
        <f t="shared" si="26"/>
        <v>32.352568749999996</v>
      </c>
      <c r="Q79" s="183">
        <f t="shared" si="26"/>
        <v>369.78986081250008</v>
      </c>
      <c r="R79" s="190">
        <f t="shared" si="26"/>
        <v>194.11541249999993</v>
      </c>
      <c r="S79" s="183">
        <f t="shared" si="26"/>
        <v>3539.9888396249985</v>
      </c>
      <c r="T79" s="177"/>
      <c r="U79" s="190">
        <f t="shared" si="20"/>
        <v>24419.493599999994</v>
      </c>
      <c r="V79" s="177"/>
      <c r="W79" s="177"/>
      <c r="X79" s="177">
        <f t="shared" si="21"/>
        <v>0</v>
      </c>
      <c r="Y79" s="177"/>
      <c r="Z79" s="177">
        <f t="shared" si="22"/>
        <v>0</v>
      </c>
      <c r="AA79" s="190"/>
      <c r="AB79" s="177"/>
      <c r="AC79" s="177"/>
      <c r="AD79" s="177"/>
    </row>
    <row r="80" spans="1:30" ht="12.75" customHeight="1">
      <c r="A80" s="177"/>
      <c r="B80" s="183"/>
      <c r="C80" s="177"/>
      <c r="D80" s="177"/>
      <c r="E80" s="186"/>
      <c r="F80" s="177"/>
      <c r="G80" s="177"/>
      <c r="H80" s="185"/>
      <c r="I80" s="183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</row>
    <row r="81" spans="1:30" ht="12.75" customHeight="1">
      <c r="A81" s="177"/>
      <c r="B81" s="183"/>
      <c r="C81" s="177"/>
      <c r="D81" s="177"/>
      <c r="E81" s="186"/>
      <c r="F81" s="177"/>
      <c r="G81" s="177"/>
      <c r="H81" s="185"/>
      <c r="I81" s="183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89"/>
      <c r="V81" s="189"/>
      <c r="W81" s="177"/>
      <c r="X81" s="177"/>
      <c r="Y81" s="177"/>
      <c r="Z81" s="177"/>
      <c r="AA81" s="188"/>
      <c r="AB81" s="177"/>
      <c r="AC81" s="177"/>
      <c r="AD81" s="177"/>
    </row>
    <row r="82" spans="1:30" ht="24" customHeight="1">
      <c r="A82" s="172" t="s">
        <v>367</v>
      </c>
      <c r="B82" s="172" t="s">
        <v>368</v>
      </c>
      <c r="C82" s="172" t="s">
        <v>369</v>
      </c>
      <c r="D82" s="214" t="s">
        <v>370</v>
      </c>
      <c r="E82" s="172" t="s">
        <v>371</v>
      </c>
      <c r="F82" s="214" t="s">
        <v>372</v>
      </c>
      <c r="G82" s="214" t="s">
        <v>373</v>
      </c>
      <c r="H82" s="214" t="s">
        <v>374</v>
      </c>
      <c r="I82" s="214" t="s">
        <v>338</v>
      </c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89"/>
      <c r="V82" s="189"/>
      <c r="W82" s="177"/>
      <c r="X82" s="177"/>
      <c r="Y82" s="177"/>
      <c r="Z82" s="177"/>
      <c r="AA82" s="188"/>
      <c r="AB82" s="177"/>
      <c r="AC82" s="177"/>
      <c r="AD82" s="177"/>
    </row>
    <row r="83" spans="1:30" ht="12.75" customHeight="1">
      <c r="A83" s="177" t="s">
        <v>174</v>
      </c>
      <c r="B83" s="189">
        <v>28</v>
      </c>
      <c r="C83" s="177">
        <f t="shared" ref="C83:C114" si="27">D42</f>
        <v>5</v>
      </c>
      <c r="D83" s="189">
        <f t="shared" ref="D83:D118" si="28">C83*B83</f>
        <v>140</v>
      </c>
      <c r="E83" s="188">
        <f t="shared" ref="E83:E118" si="29">E42/E$78</f>
        <v>8.6206896551724144E-2</v>
      </c>
      <c r="F83" s="190">
        <f>365/C83</f>
        <v>73</v>
      </c>
      <c r="G83" s="189">
        <f t="shared" ref="G83:G118" si="30">L42/D42</f>
        <v>1479.816</v>
      </c>
      <c r="H83" s="185">
        <f t="shared" ref="H83:H118" si="31">G83/F83</f>
        <v>20.271452054794523</v>
      </c>
      <c r="I83" s="215">
        <f t="shared" ref="I83:I118" si="32">(P42*6)/365</f>
        <v>2.3848767123287664</v>
      </c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89"/>
      <c r="V83" s="189"/>
      <c r="W83" s="177"/>
      <c r="X83" s="177"/>
      <c r="Y83" s="177"/>
      <c r="Z83" s="177"/>
      <c r="AA83" s="188"/>
      <c r="AB83" s="177"/>
      <c r="AC83" s="177"/>
      <c r="AD83" s="177"/>
    </row>
    <row r="84" spans="1:30" ht="12.75" customHeight="1">
      <c r="A84" s="177" t="s">
        <v>175</v>
      </c>
      <c r="B84" s="189">
        <v>14</v>
      </c>
      <c r="C84" s="177">
        <f t="shared" si="27"/>
        <v>5</v>
      </c>
      <c r="D84" s="177">
        <f t="shared" si="28"/>
        <v>70</v>
      </c>
      <c r="E84" s="188">
        <f t="shared" si="29"/>
        <v>8.6206896551724144E-2</v>
      </c>
      <c r="F84" s="189">
        <f>365/C84</f>
        <v>73</v>
      </c>
      <c r="G84" s="189">
        <f t="shared" si="30"/>
        <v>1479.816</v>
      </c>
      <c r="H84" s="185">
        <f t="shared" si="31"/>
        <v>20.271452054794523</v>
      </c>
      <c r="I84" s="215">
        <f t="shared" si="32"/>
        <v>2.3848767123287664</v>
      </c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89"/>
      <c r="V84" s="189"/>
      <c r="W84" s="177"/>
      <c r="X84" s="177"/>
      <c r="Y84" s="177"/>
      <c r="Z84" s="177"/>
      <c r="AA84" s="188"/>
      <c r="AB84" s="177"/>
      <c r="AC84" s="177"/>
      <c r="AD84" s="177"/>
    </row>
    <row r="85" spans="1:30" ht="12.75" customHeight="1">
      <c r="A85" s="177" t="s">
        <v>176</v>
      </c>
      <c r="B85" s="189">
        <v>16</v>
      </c>
      <c r="C85" s="177">
        <f t="shared" si="27"/>
        <v>5</v>
      </c>
      <c r="D85" s="177">
        <f t="shared" si="28"/>
        <v>80</v>
      </c>
      <c r="E85" s="188">
        <f t="shared" si="29"/>
        <v>8.6206896551724144E-2</v>
      </c>
      <c r="F85" s="189">
        <f>365/C85</f>
        <v>73</v>
      </c>
      <c r="G85" s="189">
        <f t="shared" si="30"/>
        <v>1472.9074285714287</v>
      </c>
      <c r="H85" s="185">
        <f t="shared" si="31"/>
        <v>20.176814090019572</v>
      </c>
      <c r="I85" s="215">
        <f t="shared" si="32"/>
        <v>2.3765958904109588</v>
      </c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89"/>
      <c r="V85" s="189"/>
      <c r="W85" s="177"/>
      <c r="X85" s="177"/>
      <c r="Y85" s="177"/>
      <c r="Z85" s="177"/>
      <c r="AA85" s="188"/>
      <c r="AB85" s="177"/>
      <c r="AC85" s="177"/>
      <c r="AD85" s="177"/>
    </row>
    <row r="86" spans="1:30" ht="12.75" customHeight="1">
      <c r="A86" s="177" t="s">
        <v>177</v>
      </c>
      <c r="B86" s="189">
        <v>17</v>
      </c>
      <c r="C86" s="177">
        <f t="shared" si="27"/>
        <v>5</v>
      </c>
      <c r="D86" s="177">
        <f t="shared" si="28"/>
        <v>85</v>
      </c>
      <c r="E86" s="188">
        <f t="shared" si="29"/>
        <v>8.6206896551724144E-2</v>
      </c>
      <c r="F86" s="189">
        <f>365/C86</f>
        <v>73</v>
      </c>
      <c r="G86" s="189">
        <f t="shared" si="30"/>
        <v>1597.2617142857143</v>
      </c>
      <c r="H86" s="185">
        <f t="shared" si="31"/>
        <v>21.880297455968691</v>
      </c>
      <c r="I86" s="215">
        <f t="shared" si="32"/>
        <v>2.2523835616438355</v>
      </c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89"/>
      <c r="V86" s="189"/>
      <c r="W86" s="177"/>
      <c r="X86" s="177"/>
      <c r="Y86" s="177"/>
      <c r="Z86" s="177"/>
      <c r="AA86" s="188"/>
      <c r="AB86" s="177"/>
      <c r="AC86" s="177"/>
      <c r="AD86" s="177"/>
    </row>
    <row r="87" spans="1:30" ht="12.75" customHeight="1">
      <c r="A87" s="177" t="s">
        <v>178</v>
      </c>
      <c r="B87" s="189">
        <v>14</v>
      </c>
      <c r="C87" s="177">
        <f t="shared" si="27"/>
        <v>3</v>
      </c>
      <c r="D87" s="177">
        <f t="shared" si="28"/>
        <v>42</v>
      </c>
      <c r="E87" s="188">
        <f t="shared" si="29"/>
        <v>5.1724137931034482E-2</v>
      </c>
      <c r="F87" s="189">
        <f>365/C87</f>
        <v>121.66666666666667</v>
      </c>
      <c r="G87" s="189">
        <f t="shared" si="30"/>
        <v>2224.56</v>
      </c>
      <c r="H87" s="185">
        <f t="shared" si="31"/>
        <v>18.284054794520546</v>
      </c>
      <c r="I87" s="215">
        <f t="shared" si="32"/>
        <v>0</v>
      </c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89"/>
      <c r="V87" s="189"/>
      <c r="W87" s="177"/>
      <c r="X87" s="177"/>
      <c r="Y87" s="177"/>
      <c r="Z87" s="177"/>
      <c r="AA87" s="188"/>
      <c r="AB87" s="177"/>
      <c r="AC87" s="177"/>
      <c r="AD87" s="177"/>
    </row>
    <row r="88" spans="1:30" ht="12.75" customHeight="1">
      <c r="A88" s="177" t="s">
        <v>179</v>
      </c>
      <c r="B88" s="189">
        <v>14</v>
      </c>
      <c r="C88" s="177">
        <f t="shared" si="27"/>
        <v>1</v>
      </c>
      <c r="D88" s="177">
        <f t="shared" si="28"/>
        <v>14</v>
      </c>
      <c r="E88" s="188">
        <f t="shared" si="29"/>
        <v>1.7241379310344827E-2</v>
      </c>
      <c r="F88" s="189">
        <f>365/4</f>
        <v>91.25</v>
      </c>
      <c r="G88" s="189">
        <f t="shared" si="30"/>
        <v>2198.7680000000005</v>
      </c>
      <c r="H88" s="185">
        <f t="shared" si="31"/>
        <v>24.096087671232883</v>
      </c>
      <c r="I88" s="215">
        <f t="shared" si="32"/>
        <v>0.32792054794520548</v>
      </c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89"/>
      <c r="V88" s="189"/>
      <c r="W88" s="177"/>
      <c r="X88" s="177"/>
      <c r="Y88" s="177"/>
      <c r="Z88" s="177"/>
      <c r="AA88" s="188"/>
      <c r="AB88" s="177"/>
      <c r="AC88" s="177"/>
      <c r="AD88" s="177"/>
    </row>
    <row r="89" spans="1:30" ht="12.75" customHeight="1">
      <c r="A89" s="177" t="s">
        <v>180</v>
      </c>
      <c r="B89" s="189">
        <v>14</v>
      </c>
      <c r="C89" s="177">
        <f t="shared" si="27"/>
        <v>1</v>
      </c>
      <c r="D89" s="177">
        <f t="shared" si="28"/>
        <v>14</v>
      </c>
      <c r="E89" s="188">
        <f t="shared" si="29"/>
        <v>1.7241379310344827E-2</v>
      </c>
      <c r="F89" s="189">
        <f>365/4</f>
        <v>91.25</v>
      </c>
      <c r="G89" s="189">
        <f t="shared" si="30"/>
        <v>1884.658285714286</v>
      </c>
      <c r="H89" s="185">
        <f t="shared" si="31"/>
        <v>20.653789432485326</v>
      </c>
      <c r="I89" s="215">
        <f t="shared" si="32"/>
        <v>0.32792054794520548</v>
      </c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2"/>
      <c r="U89" s="189"/>
      <c r="V89" s="189"/>
      <c r="W89" s="177"/>
      <c r="X89" s="177"/>
      <c r="Y89" s="177"/>
      <c r="Z89" s="177"/>
      <c r="AA89" s="188"/>
      <c r="AB89" s="177"/>
      <c r="AC89" s="177"/>
      <c r="AD89" s="177"/>
    </row>
    <row r="90" spans="1:30" ht="12.75" customHeight="1">
      <c r="A90" s="177" t="s">
        <v>181</v>
      </c>
      <c r="B90" s="189">
        <v>14</v>
      </c>
      <c r="C90" s="177">
        <f t="shared" si="27"/>
        <v>1</v>
      </c>
      <c r="D90" s="177">
        <f t="shared" si="28"/>
        <v>14</v>
      </c>
      <c r="E90" s="188">
        <f t="shared" si="29"/>
        <v>1.7241379310344827E-2</v>
      </c>
      <c r="F90" s="189">
        <f>365/4</f>
        <v>91.25</v>
      </c>
      <c r="G90" s="189">
        <f t="shared" si="30"/>
        <v>1337.4994285714288</v>
      </c>
      <c r="H90" s="185">
        <f t="shared" si="31"/>
        <v>14.657527984344425</v>
      </c>
      <c r="I90" s="215">
        <f t="shared" si="32"/>
        <v>0.65584109589041095</v>
      </c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2"/>
      <c r="X90" s="172"/>
      <c r="Y90" s="211"/>
      <c r="Z90" s="211"/>
      <c r="AA90" s="177"/>
      <c r="AB90" s="177"/>
      <c r="AC90" s="177"/>
      <c r="AD90" s="177"/>
    </row>
    <row r="91" spans="1:30" ht="12.75" customHeight="1">
      <c r="A91" s="177" t="s">
        <v>182</v>
      </c>
      <c r="B91" s="189">
        <v>14</v>
      </c>
      <c r="C91" s="177">
        <f t="shared" si="27"/>
        <v>1</v>
      </c>
      <c r="D91" s="177">
        <f t="shared" si="28"/>
        <v>14</v>
      </c>
      <c r="E91" s="188">
        <f t="shared" si="29"/>
        <v>1.7241379310344827E-2</v>
      </c>
      <c r="F91" s="189">
        <f>365/4</f>
        <v>91.25</v>
      </c>
      <c r="G91" s="189">
        <f t="shared" si="30"/>
        <v>1560.4160000000002</v>
      </c>
      <c r="H91" s="185">
        <f t="shared" si="31"/>
        <v>17.100449315068495</v>
      </c>
      <c r="I91" s="215">
        <f t="shared" si="32"/>
        <v>0.65584109589041095</v>
      </c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</row>
    <row r="92" spans="1:30" ht="12.75" customHeight="1">
      <c r="A92" s="177" t="s">
        <v>183</v>
      </c>
      <c r="B92" s="189">
        <v>14</v>
      </c>
      <c r="C92" s="177">
        <f t="shared" si="27"/>
        <v>1</v>
      </c>
      <c r="D92" s="177">
        <f t="shared" si="28"/>
        <v>14</v>
      </c>
      <c r="E92" s="188">
        <f t="shared" si="29"/>
        <v>1.7241379310344827E-2</v>
      </c>
      <c r="F92" s="177">
        <v>91</v>
      </c>
      <c r="G92" s="189">
        <f t="shared" si="30"/>
        <v>1851.2208000000003</v>
      </c>
      <c r="H92" s="185">
        <f t="shared" si="31"/>
        <v>20.343085714285717</v>
      </c>
      <c r="I92" s="215">
        <f t="shared" si="32"/>
        <v>0.33139849315068493</v>
      </c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</row>
    <row r="93" spans="1:30" ht="12.75" customHeight="1">
      <c r="A93" s="177" t="s">
        <v>184</v>
      </c>
      <c r="B93" s="189">
        <v>14</v>
      </c>
      <c r="C93" s="177">
        <f t="shared" si="27"/>
        <v>1</v>
      </c>
      <c r="D93" s="177">
        <f t="shared" si="28"/>
        <v>14</v>
      </c>
      <c r="E93" s="188">
        <f t="shared" si="29"/>
        <v>1.7241379310344827E-2</v>
      </c>
      <c r="F93" s="177">
        <v>91</v>
      </c>
      <c r="G93" s="189">
        <f t="shared" si="30"/>
        <v>1851.2208000000003</v>
      </c>
      <c r="H93" s="185">
        <f t="shared" si="31"/>
        <v>20.343085714285717</v>
      </c>
      <c r="I93" s="215">
        <f t="shared" si="32"/>
        <v>0.33139849315068493</v>
      </c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</row>
    <row r="94" spans="1:30" ht="12.75" customHeight="1">
      <c r="A94" s="177" t="s">
        <v>185</v>
      </c>
      <c r="B94" s="189">
        <v>14</v>
      </c>
      <c r="C94" s="177">
        <f t="shared" si="27"/>
        <v>1</v>
      </c>
      <c r="D94" s="177">
        <f t="shared" si="28"/>
        <v>14</v>
      </c>
      <c r="E94" s="188">
        <f t="shared" si="29"/>
        <v>1.7241379310344827E-2</v>
      </c>
      <c r="F94" s="177">
        <v>91</v>
      </c>
      <c r="G94" s="189">
        <f t="shared" si="30"/>
        <v>1851.2208000000003</v>
      </c>
      <c r="H94" s="185">
        <f t="shared" si="31"/>
        <v>20.343085714285717</v>
      </c>
      <c r="I94" s="215">
        <f t="shared" si="32"/>
        <v>0.33139849315068493</v>
      </c>
      <c r="J94" s="177"/>
      <c r="K94" s="177"/>
      <c r="L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</row>
    <row r="95" spans="1:30" ht="12.75" customHeight="1">
      <c r="A95" s="177" t="s">
        <v>186</v>
      </c>
      <c r="B95" s="189">
        <v>14</v>
      </c>
      <c r="C95" s="177">
        <f t="shared" si="27"/>
        <v>1</v>
      </c>
      <c r="D95" s="177">
        <f t="shared" si="28"/>
        <v>14</v>
      </c>
      <c r="E95" s="188">
        <f t="shared" si="29"/>
        <v>1.7241379310344827E-2</v>
      </c>
      <c r="F95" s="177">
        <v>91</v>
      </c>
      <c r="G95" s="189">
        <f t="shared" si="30"/>
        <v>1851.2208000000003</v>
      </c>
      <c r="H95" s="185">
        <f t="shared" si="31"/>
        <v>20.343085714285717</v>
      </c>
      <c r="I95" s="215">
        <f t="shared" si="32"/>
        <v>0.33139849315068493</v>
      </c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</row>
    <row r="96" spans="1:30" ht="12.75" customHeight="1">
      <c r="A96" s="177" t="s">
        <v>187</v>
      </c>
      <c r="B96" s="189">
        <v>14</v>
      </c>
      <c r="C96" s="177">
        <f t="shared" si="27"/>
        <v>1</v>
      </c>
      <c r="D96" s="177">
        <f t="shared" si="28"/>
        <v>14</v>
      </c>
      <c r="E96" s="188">
        <f t="shared" si="29"/>
        <v>1.7241379310344827E-2</v>
      </c>
      <c r="F96" s="177">
        <v>91</v>
      </c>
      <c r="G96" s="189">
        <f t="shared" si="30"/>
        <v>1586.7606857142857</v>
      </c>
      <c r="H96" s="185">
        <f t="shared" si="31"/>
        <v>17.436930612244897</v>
      </c>
      <c r="I96" s="215">
        <f t="shared" si="32"/>
        <v>0.48989342465753422</v>
      </c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</row>
    <row r="97" spans="1:30" ht="12.75" customHeight="1">
      <c r="A97" s="177" t="s">
        <v>188</v>
      </c>
      <c r="B97" s="189">
        <v>17</v>
      </c>
      <c r="C97" s="177">
        <f t="shared" si="27"/>
        <v>1</v>
      </c>
      <c r="D97" s="177">
        <f t="shared" si="28"/>
        <v>17</v>
      </c>
      <c r="E97" s="188">
        <f t="shared" si="29"/>
        <v>1.7241379310344827E-2</v>
      </c>
      <c r="F97" s="177">
        <v>60</v>
      </c>
      <c r="G97" s="189">
        <f t="shared" si="30"/>
        <v>1796.9194285714286</v>
      </c>
      <c r="H97" s="185">
        <f t="shared" si="31"/>
        <v>29.948657142857144</v>
      </c>
      <c r="I97" s="215">
        <f t="shared" si="32"/>
        <v>0.33081883561643838</v>
      </c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</row>
    <row r="98" spans="1:30" ht="12.75" customHeight="1">
      <c r="A98" s="177" t="s">
        <v>189</v>
      </c>
      <c r="B98" s="189">
        <v>17</v>
      </c>
      <c r="C98" s="177">
        <f t="shared" si="27"/>
        <v>1</v>
      </c>
      <c r="D98" s="177">
        <f t="shared" si="28"/>
        <v>17</v>
      </c>
      <c r="E98" s="188">
        <f t="shared" si="29"/>
        <v>1.7241379310344827E-2</v>
      </c>
      <c r="F98" s="177">
        <v>45</v>
      </c>
      <c r="G98" s="189">
        <f t="shared" si="30"/>
        <v>1796.9194285714286</v>
      </c>
      <c r="H98" s="185">
        <f t="shared" si="31"/>
        <v>39.931542857142858</v>
      </c>
      <c r="I98" s="215">
        <f t="shared" si="32"/>
        <v>0.33081883561643838</v>
      </c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</row>
    <row r="99" spans="1:30" ht="12.75" customHeight="1">
      <c r="A99" s="177" t="s">
        <v>190</v>
      </c>
      <c r="B99" s="189">
        <v>17</v>
      </c>
      <c r="C99" s="177">
        <f t="shared" si="27"/>
        <v>1</v>
      </c>
      <c r="D99" s="177">
        <f t="shared" si="28"/>
        <v>17</v>
      </c>
      <c r="E99" s="188">
        <f t="shared" si="29"/>
        <v>1.7241379310344827E-2</v>
      </c>
      <c r="F99" s="177">
        <v>45</v>
      </c>
      <c r="G99" s="189">
        <f t="shared" si="30"/>
        <v>1796.9194285714286</v>
      </c>
      <c r="H99" s="185">
        <f t="shared" si="31"/>
        <v>39.931542857142858</v>
      </c>
      <c r="I99" s="215">
        <f t="shared" si="32"/>
        <v>0.33081883561643838</v>
      </c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</row>
    <row r="100" spans="1:30" ht="12.75" customHeight="1">
      <c r="A100" s="177" t="s">
        <v>191</v>
      </c>
      <c r="B100" s="189">
        <v>17</v>
      </c>
      <c r="C100" s="177">
        <f t="shared" si="27"/>
        <v>1</v>
      </c>
      <c r="D100" s="177">
        <f t="shared" si="28"/>
        <v>17</v>
      </c>
      <c r="E100" s="188">
        <f t="shared" si="29"/>
        <v>1.7241379310344827E-2</v>
      </c>
      <c r="F100" s="177">
        <v>45</v>
      </c>
      <c r="G100" s="189">
        <f t="shared" si="30"/>
        <v>1796.9194285714286</v>
      </c>
      <c r="H100" s="185">
        <f t="shared" si="31"/>
        <v>39.931542857142858</v>
      </c>
      <c r="I100" s="215">
        <f t="shared" si="32"/>
        <v>0.33081883561643838</v>
      </c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</row>
    <row r="101" spans="1:30" ht="12.75" customHeight="1">
      <c r="A101" s="177" t="s">
        <v>192</v>
      </c>
      <c r="B101" s="189">
        <v>17</v>
      </c>
      <c r="C101" s="177">
        <f t="shared" si="27"/>
        <v>1</v>
      </c>
      <c r="D101" s="177">
        <f t="shared" si="28"/>
        <v>17</v>
      </c>
      <c r="E101" s="188">
        <f t="shared" si="29"/>
        <v>1.7241379310344827E-2</v>
      </c>
      <c r="F101" s="177">
        <v>45</v>
      </c>
      <c r="G101" s="189">
        <f t="shared" si="30"/>
        <v>1796.9194285714286</v>
      </c>
      <c r="H101" s="185">
        <f t="shared" si="31"/>
        <v>39.931542857142858</v>
      </c>
      <c r="I101" s="215">
        <f t="shared" si="32"/>
        <v>0.33081883561643838</v>
      </c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</row>
    <row r="102" spans="1:30" ht="12.75" customHeight="1">
      <c r="A102" s="177" t="s">
        <v>193</v>
      </c>
      <c r="B102" s="189">
        <v>17</v>
      </c>
      <c r="C102" s="177">
        <f t="shared" si="27"/>
        <v>1</v>
      </c>
      <c r="D102" s="177">
        <f t="shared" si="28"/>
        <v>17</v>
      </c>
      <c r="E102" s="188">
        <f t="shared" si="29"/>
        <v>1.7241379310344827E-2</v>
      </c>
      <c r="F102" s="177">
        <v>45</v>
      </c>
      <c r="G102" s="189">
        <f t="shared" si="30"/>
        <v>1796.9194285714286</v>
      </c>
      <c r="H102" s="185">
        <f t="shared" si="31"/>
        <v>39.931542857142858</v>
      </c>
      <c r="I102" s="215">
        <f t="shared" si="32"/>
        <v>0.33081883561643838</v>
      </c>
      <c r="J102" s="177"/>
      <c r="K102" s="177"/>
      <c r="L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</row>
    <row r="103" spans="1:30" ht="12.75" customHeight="1">
      <c r="A103" s="177" t="s">
        <v>194</v>
      </c>
      <c r="B103" s="189">
        <v>17</v>
      </c>
      <c r="C103" s="177">
        <f t="shared" si="27"/>
        <v>1</v>
      </c>
      <c r="D103" s="177">
        <f t="shared" si="28"/>
        <v>17</v>
      </c>
      <c r="E103" s="188">
        <f t="shared" si="29"/>
        <v>1.7241379310344827E-2</v>
      </c>
      <c r="F103" s="177">
        <v>45</v>
      </c>
      <c r="G103" s="189">
        <f t="shared" si="30"/>
        <v>1526.7942857142857</v>
      </c>
      <c r="H103" s="185">
        <f t="shared" si="31"/>
        <v>33.928761904761906</v>
      </c>
      <c r="I103" s="215">
        <f t="shared" si="32"/>
        <v>0.49270890410958895</v>
      </c>
      <c r="J103" s="177"/>
      <c r="K103" s="177"/>
      <c r="L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</row>
    <row r="104" spans="1:30" ht="12.75" customHeight="1">
      <c r="A104" s="177" t="s">
        <v>195</v>
      </c>
      <c r="B104" s="189">
        <v>17</v>
      </c>
      <c r="C104" s="177">
        <f t="shared" si="27"/>
        <v>1</v>
      </c>
      <c r="D104" s="177">
        <f t="shared" si="28"/>
        <v>17</v>
      </c>
      <c r="E104" s="188">
        <f t="shared" si="29"/>
        <v>1.7241379310344827E-2</v>
      </c>
      <c r="F104" s="177">
        <v>60</v>
      </c>
      <c r="G104" s="189">
        <f t="shared" si="30"/>
        <v>1526.7942857142857</v>
      </c>
      <c r="H104" s="185">
        <f t="shared" si="31"/>
        <v>25.446571428571428</v>
      </c>
      <c r="I104" s="215">
        <f t="shared" si="32"/>
        <v>0.49270890410958895</v>
      </c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</row>
    <row r="105" spans="1:30" ht="12.75" customHeight="1">
      <c r="A105" s="177" t="s">
        <v>196</v>
      </c>
      <c r="B105" s="189">
        <v>18</v>
      </c>
      <c r="C105" s="177">
        <f t="shared" si="27"/>
        <v>1</v>
      </c>
      <c r="D105" s="177">
        <f t="shared" si="28"/>
        <v>18</v>
      </c>
      <c r="E105" s="188">
        <f t="shared" si="29"/>
        <v>1.7241379310344827E-2</v>
      </c>
      <c r="F105" s="189">
        <f t="shared" ref="F105:F112" si="33">365/4</f>
        <v>91.25</v>
      </c>
      <c r="G105" s="189">
        <f t="shared" si="30"/>
        <v>1624.896</v>
      </c>
      <c r="H105" s="185">
        <f t="shared" si="31"/>
        <v>17.807079452054793</v>
      </c>
      <c r="I105" s="215">
        <f t="shared" si="32"/>
        <v>0.4902246575342466</v>
      </c>
      <c r="J105" s="177"/>
      <c r="K105" s="177"/>
      <c r="L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</row>
    <row r="106" spans="1:30" ht="12.75" customHeight="1">
      <c r="A106" s="177" t="s">
        <v>197</v>
      </c>
      <c r="B106" s="189">
        <v>18</v>
      </c>
      <c r="C106" s="177">
        <f t="shared" si="27"/>
        <v>1</v>
      </c>
      <c r="D106" s="177">
        <f t="shared" si="28"/>
        <v>18</v>
      </c>
      <c r="E106" s="188">
        <f t="shared" si="29"/>
        <v>1.7241379310344827E-2</v>
      </c>
      <c r="F106" s="189">
        <f t="shared" si="33"/>
        <v>91.25</v>
      </c>
      <c r="G106" s="189">
        <f t="shared" si="30"/>
        <v>1624.896</v>
      </c>
      <c r="H106" s="185">
        <f t="shared" si="31"/>
        <v>17.807079452054793</v>
      </c>
      <c r="I106" s="215">
        <f t="shared" si="32"/>
        <v>0.4902246575342466</v>
      </c>
      <c r="J106" s="177"/>
      <c r="K106" s="177"/>
      <c r="L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</row>
    <row r="107" spans="1:30" ht="12.75" customHeight="1">
      <c r="A107" s="177" t="s">
        <v>198</v>
      </c>
      <c r="B107" s="189">
        <v>18</v>
      </c>
      <c r="C107" s="177">
        <f t="shared" si="27"/>
        <v>1</v>
      </c>
      <c r="D107" s="177">
        <f t="shared" si="28"/>
        <v>18</v>
      </c>
      <c r="E107" s="188">
        <f t="shared" si="29"/>
        <v>1.7241379310344827E-2</v>
      </c>
      <c r="F107" s="189">
        <f t="shared" si="33"/>
        <v>91.25</v>
      </c>
      <c r="G107" s="189">
        <f t="shared" si="30"/>
        <v>1624.896</v>
      </c>
      <c r="H107" s="185">
        <f t="shared" si="31"/>
        <v>17.807079452054793</v>
      </c>
      <c r="I107" s="215">
        <f t="shared" si="32"/>
        <v>0.4902246575342466</v>
      </c>
      <c r="J107" s="177"/>
      <c r="K107" s="177"/>
      <c r="L107" s="177"/>
      <c r="M107" s="177"/>
      <c r="N107" s="177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</row>
    <row r="108" spans="1:30" ht="12.75" customHeight="1">
      <c r="A108" s="177" t="s">
        <v>199</v>
      </c>
      <c r="B108" s="189">
        <v>18</v>
      </c>
      <c r="C108" s="177">
        <f t="shared" si="27"/>
        <v>1</v>
      </c>
      <c r="D108" s="177">
        <f t="shared" si="28"/>
        <v>18</v>
      </c>
      <c r="E108" s="188">
        <f t="shared" si="29"/>
        <v>1.7241379310344827E-2</v>
      </c>
      <c r="F108" s="189">
        <f t="shared" si="33"/>
        <v>91.25</v>
      </c>
      <c r="G108" s="189">
        <f t="shared" si="30"/>
        <v>1624.896</v>
      </c>
      <c r="H108" s="185">
        <f t="shared" si="31"/>
        <v>17.807079452054793</v>
      </c>
      <c r="I108" s="215">
        <f t="shared" si="32"/>
        <v>0.4902246575342466</v>
      </c>
      <c r="J108" s="177"/>
      <c r="K108" s="177"/>
      <c r="L108" s="177"/>
      <c r="M108" s="177"/>
      <c r="N108" s="177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</row>
    <row r="109" spans="1:30" ht="12.75" customHeight="1">
      <c r="A109" s="177" t="s">
        <v>200</v>
      </c>
      <c r="B109" s="189">
        <v>28</v>
      </c>
      <c r="C109" s="177">
        <f t="shared" si="27"/>
        <v>1</v>
      </c>
      <c r="D109" s="177">
        <f t="shared" si="28"/>
        <v>28</v>
      </c>
      <c r="E109" s="188">
        <f t="shared" si="29"/>
        <v>1.7241379310344827E-2</v>
      </c>
      <c r="F109" s="189">
        <f t="shared" si="33"/>
        <v>91.25</v>
      </c>
      <c r="G109" s="189">
        <f t="shared" si="30"/>
        <v>1697.4360000000001</v>
      </c>
      <c r="H109" s="185">
        <f t="shared" si="31"/>
        <v>18.602038356164385</v>
      </c>
      <c r="I109" s="215">
        <f t="shared" si="32"/>
        <v>0.32792054794520548</v>
      </c>
      <c r="J109" s="177"/>
      <c r="K109" s="177"/>
      <c r="L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</row>
    <row r="110" spans="1:30" ht="12.75" customHeight="1">
      <c r="A110" s="177" t="s">
        <v>201</v>
      </c>
      <c r="B110" s="189">
        <v>28</v>
      </c>
      <c r="C110" s="177">
        <f t="shared" si="27"/>
        <v>1</v>
      </c>
      <c r="D110" s="177">
        <f t="shared" si="28"/>
        <v>28</v>
      </c>
      <c r="E110" s="188">
        <f t="shared" si="29"/>
        <v>1.7241379310344827E-2</v>
      </c>
      <c r="F110" s="189">
        <f t="shared" si="33"/>
        <v>91.25</v>
      </c>
      <c r="G110" s="189">
        <f t="shared" si="30"/>
        <v>1697.4360000000001</v>
      </c>
      <c r="H110" s="185">
        <f t="shared" si="31"/>
        <v>18.602038356164385</v>
      </c>
      <c r="I110" s="215">
        <f t="shared" si="32"/>
        <v>0.32792054794520548</v>
      </c>
      <c r="J110" s="177"/>
      <c r="K110" s="177"/>
      <c r="L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</row>
    <row r="111" spans="1:30" ht="12.75" customHeight="1">
      <c r="A111" s="177" t="s">
        <v>202</v>
      </c>
      <c r="B111" s="189">
        <v>28</v>
      </c>
      <c r="C111" s="177">
        <f t="shared" si="27"/>
        <v>1</v>
      </c>
      <c r="D111" s="177">
        <f t="shared" si="28"/>
        <v>28</v>
      </c>
      <c r="E111" s="188">
        <f t="shared" si="29"/>
        <v>1.7241379310344827E-2</v>
      </c>
      <c r="F111" s="189">
        <f t="shared" si="33"/>
        <v>91.25</v>
      </c>
      <c r="G111" s="189">
        <f t="shared" si="30"/>
        <v>1697.4360000000001</v>
      </c>
      <c r="H111" s="185">
        <f t="shared" si="31"/>
        <v>18.602038356164385</v>
      </c>
      <c r="I111" s="215">
        <f t="shared" si="32"/>
        <v>0.32792054794520548</v>
      </c>
      <c r="J111" s="177"/>
      <c r="K111" s="177"/>
      <c r="L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</row>
    <row r="112" spans="1:30" ht="12.75" customHeight="1">
      <c r="A112" s="177" t="s">
        <v>203</v>
      </c>
      <c r="B112" s="189">
        <v>28</v>
      </c>
      <c r="C112" s="177">
        <f t="shared" si="27"/>
        <v>1</v>
      </c>
      <c r="D112" s="177">
        <f t="shared" si="28"/>
        <v>28</v>
      </c>
      <c r="E112" s="188">
        <f t="shared" si="29"/>
        <v>1.7241379310344827E-2</v>
      </c>
      <c r="F112" s="189">
        <f t="shared" si="33"/>
        <v>91.25</v>
      </c>
      <c r="G112" s="189">
        <f t="shared" si="30"/>
        <v>1666.3474285714287</v>
      </c>
      <c r="H112" s="185">
        <f t="shared" si="31"/>
        <v>18.26134168297456</v>
      </c>
      <c r="I112" s="215">
        <f t="shared" si="32"/>
        <v>0.49188082191780819</v>
      </c>
      <c r="J112" s="177"/>
      <c r="K112" s="177"/>
      <c r="L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</row>
    <row r="113" spans="1:30" ht="12.75" customHeight="1">
      <c r="A113" s="177" t="s">
        <v>204</v>
      </c>
      <c r="B113" s="189">
        <v>16</v>
      </c>
      <c r="C113" s="177">
        <f t="shared" si="27"/>
        <v>1</v>
      </c>
      <c r="D113" s="177">
        <f t="shared" si="28"/>
        <v>16</v>
      </c>
      <c r="E113" s="188">
        <f t="shared" si="29"/>
        <v>1.7241379310344827E-2</v>
      </c>
      <c r="F113" s="177">
        <v>60</v>
      </c>
      <c r="G113" s="189">
        <f t="shared" si="30"/>
        <v>1298.258742857143</v>
      </c>
      <c r="H113" s="185">
        <f t="shared" si="31"/>
        <v>21.637645714285718</v>
      </c>
      <c r="I113" s="215">
        <f t="shared" si="32"/>
        <v>0.66279698630136985</v>
      </c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</row>
    <row r="114" spans="1:30" ht="12.75" customHeight="1">
      <c r="A114" s="177" t="s">
        <v>205</v>
      </c>
      <c r="B114" s="189">
        <v>16</v>
      </c>
      <c r="C114" s="177">
        <f t="shared" si="27"/>
        <v>1</v>
      </c>
      <c r="D114" s="177">
        <f t="shared" si="28"/>
        <v>16</v>
      </c>
      <c r="E114" s="188">
        <f t="shared" si="29"/>
        <v>1.7241379310344827E-2</v>
      </c>
      <c r="F114" s="177">
        <v>60</v>
      </c>
      <c r="G114" s="189">
        <f t="shared" si="30"/>
        <v>1298.258742857143</v>
      </c>
      <c r="H114" s="185">
        <f t="shared" si="31"/>
        <v>21.637645714285718</v>
      </c>
      <c r="I114" s="215">
        <f t="shared" si="32"/>
        <v>0.66279698630136985</v>
      </c>
      <c r="J114" s="177"/>
      <c r="K114" s="177"/>
      <c r="L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</row>
    <row r="115" spans="1:30" ht="12.75" customHeight="1">
      <c r="A115" s="177" t="s">
        <v>206</v>
      </c>
      <c r="B115" s="189">
        <v>14</v>
      </c>
      <c r="C115" s="177">
        <v>4</v>
      </c>
      <c r="D115" s="177">
        <f t="shared" si="28"/>
        <v>56</v>
      </c>
      <c r="E115" s="188">
        <f t="shared" si="29"/>
        <v>6.8965517241379309E-2</v>
      </c>
      <c r="F115" s="177">
        <v>90</v>
      </c>
      <c r="G115" s="189">
        <f t="shared" si="30"/>
        <v>884.29714285714283</v>
      </c>
      <c r="H115" s="185">
        <f t="shared" si="31"/>
        <v>9.8255238095238084</v>
      </c>
      <c r="I115" s="215">
        <f t="shared" si="32"/>
        <v>3.1798356164383557</v>
      </c>
      <c r="J115" s="177"/>
      <c r="K115" s="177"/>
      <c r="L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</row>
    <row r="116" spans="1:30" ht="12.75" customHeight="1">
      <c r="A116" s="177" t="s">
        <v>207</v>
      </c>
      <c r="B116" s="189">
        <v>18</v>
      </c>
      <c r="C116" s="177">
        <v>4</v>
      </c>
      <c r="D116" s="177">
        <f t="shared" si="28"/>
        <v>72</v>
      </c>
      <c r="E116" s="188">
        <f t="shared" si="29"/>
        <v>3.4482758620689655E-2</v>
      </c>
      <c r="F116" s="177">
        <v>90</v>
      </c>
      <c r="G116" s="189">
        <f t="shared" si="30"/>
        <v>884.29714285714283</v>
      </c>
      <c r="H116" s="185">
        <f t="shared" si="31"/>
        <v>9.8255238095238084</v>
      </c>
      <c r="I116" s="215">
        <f t="shared" si="32"/>
        <v>1.5899178082191778</v>
      </c>
      <c r="J116" s="177"/>
      <c r="K116" s="177"/>
      <c r="L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</row>
    <row r="117" spans="1:30" ht="12.75" customHeight="1">
      <c r="A117" s="177" t="s">
        <v>208</v>
      </c>
      <c r="B117" s="189">
        <v>18</v>
      </c>
      <c r="C117" s="177">
        <f>D76</f>
        <v>1</v>
      </c>
      <c r="D117" s="177">
        <f t="shared" si="28"/>
        <v>18</v>
      </c>
      <c r="E117" s="188">
        <f t="shared" si="29"/>
        <v>1.7241379310344827E-2</v>
      </c>
      <c r="F117" s="177">
        <v>60</v>
      </c>
      <c r="G117" s="189">
        <f t="shared" si="30"/>
        <v>406.22399999999999</v>
      </c>
      <c r="H117" s="185">
        <f t="shared" si="31"/>
        <v>6.7703999999999995</v>
      </c>
      <c r="I117" s="215">
        <f t="shared" si="32"/>
        <v>0.9854178082191779</v>
      </c>
      <c r="J117" s="177"/>
      <c r="K117" s="177"/>
      <c r="L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</row>
    <row r="118" spans="1:30" ht="12.75" customHeight="1">
      <c r="A118" s="177" t="s">
        <v>209</v>
      </c>
      <c r="B118" s="189">
        <v>18</v>
      </c>
      <c r="C118" s="177">
        <f>D77</f>
        <v>1</v>
      </c>
      <c r="D118" s="177">
        <f t="shared" si="28"/>
        <v>18</v>
      </c>
      <c r="E118" s="188">
        <f t="shared" si="29"/>
        <v>1.7241379310344827E-2</v>
      </c>
      <c r="F118" s="177">
        <v>60</v>
      </c>
      <c r="G118" s="189">
        <f t="shared" si="30"/>
        <v>406.22399999999999</v>
      </c>
      <c r="H118" s="185">
        <f t="shared" si="31"/>
        <v>6.7703999999999995</v>
      </c>
      <c r="I118" s="215">
        <f t="shared" si="32"/>
        <v>0.9854178082191779</v>
      </c>
      <c r="J118" s="177"/>
      <c r="K118" s="177"/>
      <c r="L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</row>
    <row r="119" spans="1:30" ht="12.75" customHeight="1">
      <c r="A119" s="172" t="s">
        <v>375</v>
      </c>
      <c r="B119" s="213">
        <f>SUM(B83:B118)</f>
        <v>635</v>
      </c>
      <c r="C119" s="213">
        <f>SUM(C83:C118)</f>
        <v>60</v>
      </c>
      <c r="D119" s="213">
        <f>SUM(D83:D118)</f>
        <v>1059</v>
      </c>
      <c r="E119" s="216">
        <f>SUM(E83:E118)</f>
        <v>1.0000000000000007</v>
      </c>
      <c r="F119" s="177"/>
      <c r="G119" s="177"/>
      <c r="H119" s="185"/>
      <c r="I119" s="183"/>
      <c r="J119" s="177"/>
      <c r="K119" s="177"/>
      <c r="L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</row>
    <row r="120" spans="1:30" ht="12.75" customHeight="1">
      <c r="A120" s="177"/>
      <c r="B120" s="183"/>
      <c r="C120" s="214" t="s">
        <v>376</v>
      </c>
      <c r="D120" s="217">
        <f>(D119/350)*1.2</f>
        <v>3.6308571428571428</v>
      </c>
      <c r="E120" s="186"/>
      <c r="F120" s="177"/>
      <c r="G120" s="177"/>
      <c r="H120" s="185"/>
      <c r="I120" s="183"/>
      <c r="J120" s="177"/>
      <c r="K120" s="177"/>
      <c r="L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</row>
    <row r="121" spans="1:30" ht="12.75" customHeight="1">
      <c r="A121" s="177"/>
      <c r="B121" s="183"/>
      <c r="C121" s="177"/>
      <c r="D121" s="177"/>
      <c r="E121" s="186"/>
      <c r="F121" s="177"/>
      <c r="G121" s="177"/>
      <c r="H121" s="185"/>
      <c r="I121" s="183"/>
      <c r="J121" s="177"/>
      <c r="K121" s="177"/>
      <c r="L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</row>
    <row r="122" spans="1:30" ht="12.75" customHeight="1">
      <c r="A122" s="177"/>
      <c r="B122" s="183"/>
      <c r="C122" s="177"/>
      <c r="D122" s="177"/>
      <c r="E122" s="186"/>
      <c r="F122" s="177"/>
      <c r="G122" s="177"/>
      <c r="H122" s="185"/>
      <c r="I122" s="183"/>
      <c r="J122" s="177"/>
      <c r="K122" s="177"/>
      <c r="L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</row>
    <row r="123" spans="1:30" ht="12.75" customHeight="1">
      <c r="A123" s="177"/>
      <c r="B123" s="183"/>
      <c r="C123" s="177"/>
      <c r="D123" s="177"/>
      <c r="E123" s="186"/>
      <c r="F123" s="177"/>
      <c r="G123" s="177"/>
      <c r="H123" s="185"/>
      <c r="I123" s="183"/>
      <c r="J123" s="177"/>
      <c r="K123" s="177"/>
      <c r="L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</row>
    <row r="124" spans="1:30" ht="12.75" customHeight="1">
      <c r="A124" s="177"/>
      <c r="B124" s="183"/>
      <c r="C124" s="177"/>
      <c r="D124" s="177"/>
      <c r="E124" s="186"/>
      <c r="F124" s="177"/>
      <c r="G124" s="177"/>
      <c r="H124" s="185"/>
      <c r="I124" s="183"/>
      <c r="J124" s="177"/>
      <c r="K124" s="177"/>
      <c r="L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</row>
    <row r="125" spans="1:30" ht="12.75" customHeight="1">
      <c r="A125" s="177"/>
      <c r="B125" s="183"/>
      <c r="C125" s="177"/>
      <c r="D125" s="177"/>
      <c r="E125" s="186"/>
      <c r="F125" s="177"/>
      <c r="G125" s="177"/>
      <c r="H125" s="185"/>
      <c r="I125" s="183"/>
      <c r="J125" s="177"/>
      <c r="K125" s="177"/>
      <c r="L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</row>
    <row r="126" spans="1:30" ht="12.75" customHeight="1">
      <c r="A126" s="177"/>
      <c r="B126" s="183"/>
      <c r="C126" s="177"/>
      <c r="D126" s="177"/>
      <c r="E126" s="186"/>
      <c r="F126" s="177"/>
      <c r="G126" s="177"/>
      <c r="H126" s="185"/>
      <c r="I126" s="183"/>
      <c r="J126" s="177"/>
      <c r="K126" s="177"/>
      <c r="L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</row>
    <row r="127" spans="1:30" ht="12.75" customHeight="1">
      <c r="A127" s="177"/>
      <c r="B127" s="183"/>
      <c r="C127" s="177"/>
      <c r="D127" s="177"/>
      <c r="E127" s="186"/>
      <c r="F127" s="177"/>
      <c r="G127" s="177"/>
      <c r="H127" s="185"/>
      <c r="I127" s="183"/>
      <c r="J127" s="177"/>
      <c r="K127" s="177"/>
      <c r="L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</row>
    <row r="128" spans="1:30" ht="12.75" customHeight="1">
      <c r="A128" s="177"/>
      <c r="B128" s="183"/>
      <c r="C128" s="177"/>
      <c r="D128" s="177"/>
      <c r="E128" s="186"/>
      <c r="F128" s="177"/>
      <c r="G128" s="177"/>
      <c r="H128" s="185"/>
      <c r="I128" s="183"/>
      <c r="J128" s="177"/>
      <c r="K128" s="177"/>
      <c r="L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</row>
    <row r="129" spans="1:30" ht="12.75" customHeight="1">
      <c r="A129" s="177"/>
      <c r="B129" s="183"/>
      <c r="C129" s="177"/>
      <c r="D129" s="177"/>
      <c r="E129" s="186"/>
      <c r="F129" s="177"/>
      <c r="G129" s="177"/>
      <c r="H129" s="185"/>
      <c r="I129" s="183"/>
      <c r="J129" s="177"/>
      <c r="K129" s="177"/>
      <c r="L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</row>
    <row r="130" spans="1:30" ht="12.75" customHeight="1">
      <c r="A130" s="177"/>
      <c r="B130" s="183"/>
      <c r="C130" s="177"/>
      <c r="D130" s="177"/>
      <c r="E130" s="186"/>
      <c r="F130" s="177"/>
      <c r="G130" s="177"/>
      <c r="H130" s="185"/>
      <c r="I130" s="183"/>
      <c r="J130" s="177"/>
      <c r="K130" s="177"/>
      <c r="L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</row>
    <row r="131" spans="1:30" ht="12.75" customHeight="1">
      <c r="A131" s="177"/>
      <c r="B131" s="183"/>
      <c r="C131" s="177"/>
      <c r="D131" s="177"/>
      <c r="E131" s="186"/>
      <c r="F131" s="177"/>
      <c r="G131" s="177"/>
      <c r="H131" s="185"/>
      <c r="I131" s="183"/>
      <c r="J131" s="177"/>
      <c r="K131" s="177"/>
      <c r="L131" s="177"/>
      <c r="M131" s="177"/>
      <c r="N131" s="177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</row>
    <row r="132" spans="1:30" ht="12.75" customHeight="1">
      <c r="A132" s="177"/>
      <c r="B132" s="183"/>
      <c r="C132" s="177"/>
      <c r="D132" s="177"/>
      <c r="E132" s="186"/>
      <c r="F132" s="177"/>
      <c r="G132" s="177"/>
      <c r="H132" s="185"/>
      <c r="I132" s="183"/>
      <c r="J132" s="177"/>
      <c r="K132" s="177"/>
      <c r="L132" s="177"/>
      <c r="M132" s="177"/>
      <c r="N132" s="177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</row>
    <row r="133" spans="1:30" ht="12.75" customHeight="1">
      <c r="A133" s="177"/>
      <c r="B133" s="183"/>
      <c r="C133" s="177"/>
      <c r="D133" s="177"/>
      <c r="E133" s="186"/>
      <c r="F133" s="177"/>
      <c r="G133" s="177"/>
      <c r="H133" s="185"/>
      <c r="I133" s="183"/>
      <c r="J133" s="177"/>
      <c r="K133" s="177"/>
      <c r="L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</row>
    <row r="134" spans="1:30" ht="12.75" customHeight="1">
      <c r="A134" s="177"/>
      <c r="B134" s="183"/>
      <c r="C134" s="177"/>
      <c r="D134" s="177"/>
      <c r="E134" s="186"/>
      <c r="F134" s="177"/>
      <c r="G134" s="177"/>
      <c r="H134" s="185"/>
      <c r="I134" s="183"/>
      <c r="J134" s="177"/>
      <c r="K134" s="177"/>
      <c r="L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</row>
    <row r="135" spans="1:30" ht="12.75" customHeight="1">
      <c r="A135" s="177"/>
      <c r="B135" s="183"/>
      <c r="C135" s="177"/>
      <c r="D135" s="177"/>
      <c r="E135" s="186"/>
      <c r="F135" s="177"/>
      <c r="G135" s="177"/>
      <c r="H135" s="185"/>
      <c r="I135" s="183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</row>
    <row r="136" spans="1:30" ht="12.75" customHeight="1">
      <c r="A136" s="177"/>
      <c r="B136" s="183"/>
      <c r="C136" s="177"/>
      <c r="D136" s="177"/>
      <c r="E136" s="186"/>
      <c r="F136" s="177"/>
      <c r="G136" s="177"/>
      <c r="H136" s="185"/>
      <c r="I136" s="183"/>
      <c r="J136" s="177"/>
      <c r="K136" s="177"/>
      <c r="L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</row>
    <row r="137" spans="1:30" ht="12.75" customHeight="1">
      <c r="A137" s="177"/>
      <c r="B137" s="183"/>
      <c r="C137" s="177"/>
      <c r="D137" s="177"/>
      <c r="E137" s="186"/>
      <c r="F137" s="177"/>
      <c r="G137" s="177"/>
      <c r="H137" s="185"/>
      <c r="I137" s="183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</row>
    <row r="138" spans="1:30" ht="12.75" customHeight="1">
      <c r="A138" s="177"/>
      <c r="B138" s="183"/>
      <c r="C138" s="177"/>
      <c r="D138" s="177"/>
      <c r="E138" s="186"/>
      <c r="F138" s="177"/>
      <c r="G138" s="177"/>
      <c r="H138" s="185"/>
      <c r="I138" s="183"/>
      <c r="J138" s="177"/>
      <c r="K138" s="177"/>
      <c r="L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</row>
    <row r="139" spans="1:30" ht="12.75" customHeight="1">
      <c r="A139" s="177"/>
      <c r="B139" s="183"/>
      <c r="C139" s="177"/>
      <c r="D139" s="177"/>
      <c r="E139" s="186"/>
      <c r="F139" s="177"/>
      <c r="G139" s="177"/>
      <c r="H139" s="185"/>
      <c r="I139" s="183"/>
      <c r="J139" s="177"/>
      <c r="K139" s="177"/>
      <c r="L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</row>
    <row r="140" spans="1:30" ht="12.75" customHeight="1">
      <c r="A140" s="177"/>
      <c r="B140" s="183"/>
      <c r="C140" s="177"/>
      <c r="D140" s="177"/>
      <c r="E140" s="186"/>
      <c r="F140" s="177"/>
      <c r="G140" s="177"/>
      <c r="H140" s="185"/>
      <c r="I140" s="183"/>
      <c r="J140" s="177"/>
      <c r="K140" s="177"/>
      <c r="L140" s="177"/>
      <c r="M140" s="177"/>
      <c r="N140" s="17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</row>
    <row r="141" spans="1:30" ht="12.75" customHeight="1">
      <c r="A141" s="177"/>
      <c r="B141" s="183"/>
      <c r="C141" s="177"/>
      <c r="D141" s="177"/>
      <c r="E141" s="186"/>
      <c r="F141" s="177"/>
      <c r="G141" s="177"/>
      <c r="H141" s="185"/>
      <c r="I141" s="183"/>
      <c r="J141" s="177"/>
      <c r="K141" s="177"/>
      <c r="L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</row>
    <row r="142" spans="1:30" ht="12.75" customHeight="1">
      <c r="A142" s="177"/>
      <c r="B142" s="183"/>
      <c r="C142" s="177"/>
      <c r="D142" s="177"/>
      <c r="E142" s="186"/>
      <c r="F142" s="177"/>
      <c r="G142" s="177"/>
      <c r="H142" s="185"/>
      <c r="I142" s="183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</row>
    <row r="143" spans="1:30" ht="12.75" customHeight="1">
      <c r="A143" s="177"/>
      <c r="B143" s="183"/>
      <c r="C143" s="177"/>
      <c r="D143" s="177"/>
      <c r="E143" s="186"/>
      <c r="F143" s="177"/>
      <c r="G143" s="177"/>
      <c r="H143" s="185"/>
      <c r="I143" s="183"/>
      <c r="J143" s="177"/>
      <c r="K143" s="177"/>
      <c r="L143" s="177"/>
      <c r="M143" s="177"/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</row>
    <row r="144" spans="1:30" ht="12.75" customHeight="1">
      <c r="A144" s="177"/>
      <c r="B144" s="183"/>
      <c r="C144" s="177"/>
      <c r="D144" s="177"/>
      <c r="E144" s="186"/>
      <c r="F144" s="177"/>
      <c r="G144" s="177"/>
      <c r="H144" s="185"/>
      <c r="I144" s="183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</row>
    <row r="145" spans="1:30" ht="12.75" customHeight="1">
      <c r="A145" s="177"/>
      <c r="B145" s="183"/>
      <c r="C145" s="177"/>
      <c r="D145" s="177"/>
      <c r="E145" s="186"/>
      <c r="F145" s="177"/>
      <c r="G145" s="177"/>
      <c r="H145" s="185"/>
      <c r="I145" s="183"/>
      <c r="J145" s="177"/>
      <c r="K145" s="177"/>
      <c r="L145" s="177"/>
      <c r="M145" s="177"/>
      <c r="N145" s="177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77"/>
    </row>
    <row r="146" spans="1:30" ht="12.75" customHeight="1">
      <c r="A146" s="177"/>
      <c r="B146" s="183"/>
      <c r="C146" s="177"/>
      <c r="D146" s="177"/>
      <c r="E146" s="186"/>
      <c r="F146" s="177"/>
      <c r="G146" s="177"/>
      <c r="H146" s="185"/>
      <c r="I146" s="183"/>
      <c r="J146" s="177"/>
      <c r="K146" s="177"/>
      <c r="L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</row>
    <row r="147" spans="1:30" ht="12.75" customHeight="1">
      <c r="A147" s="177"/>
      <c r="B147" s="183"/>
      <c r="C147" s="177"/>
      <c r="D147" s="177"/>
      <c r="E147" s="186"/>
      <c r="F147" s="177"/>
      <c r="G147" s="177"/>
      <c r="H147" s="185"/>
      <c r="I147" s="183"/>
      <c r="J147" s="177"/>
      <c r="K147" s="177"/>
      <c r="L147" s="177"/>
      <c r="M147" s="177"/>
      <c r="N147" s="177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</row>
    <row r="148" spans="1:30" ht="12.75" customHeight="1">
      <c r="A148" s="177"/>
      <c r="B148" s="183"/>
      <c r="C148" s="177"/>
      <c r="D148" s="177"/>
      <c r="E148" s="186"/>
      <c r="F148" s="177"/>
      <c r="G148" s="177"/>
      <c r="H148" s="185"/>
      <c r="I148" s="183"/>
      <c r="J148" s="177"/>
      <c r="K148" s="177"/>
      <c r="L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</row>
    <row r="149" spans="1:30" ht="12.75" customHeight="1">
      <c r="A149" s="177"/>
      <c r="B149" s="183"/>
      <c r="C149" s="177"/>
      <c r="D149" s="177"/>
      <c r="E149" s="186"/>
      <c r="F149" s="177"/>
      <c r="G149" s="177"/>
      <c r="H149" s="185"/>
      <c r="I149" s="183"/>
      <c r="J149" s="177"/>
      <c r="K149" s="177"/>
      <c r="L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</row>
    <row r="150" spans="1:30" ht="12.75" customHeight="1">
      <c r="A150" s="177"/>
      <c r="B150" s="183"/>
      <c r="C150" s="177"/>
      <c r="D150" s="177"/>
      <c r="E150" s="186"/>
      <c r="F150" s="177"/>
      <c r="G150" s="177"/>
      <c r="H150" s="185"/>
      <c r="I150" s="183"/>
      <c r="J150" s="177"/>
      <c r="K150" s="177"/>
      <c r="L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</row>
    <row r="151" spans="1:30" ht="12.75" customHeight="1">
      <c r="A151" s="177"/>
      <c r="B151" s="183"/>
      <c r="C151" s="177"/>
      <c r="D151" s="177"/>
      <c r="E151" s="186"/>
      <c r="F151" s="177"/>
      <c r="G151" s="177"/>
      <c r="H151" s="185"/>
      <c r="I151" s="183"/>
      <c r="J151" s="177"/>
      <c r="K151" s="177"/>
      <c r="L151" s="177"/>
      <c r="M151" s="177"/>
      <c r="N151" s="177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</row>
    <row r="152" spans="1:30" ht="12.75" customHeight="1">
      <c r="A152" s="177"/>
      <c r="B152" s="183"/>
      <c r="C152" s="177"/>
      <c r="D152" s="177"/>
      <c r="E152" s="186"/>
      <c r="F152" s="177"/>
      <c r="G152" s="177"/>
      <c r="H152" s="185"/>
      <c r="I152" s="183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</row>
    <row r="153" spans="1:30" ht="12.75" customHeight="1">
      <c r="A153" s="177"/>
      <c r="B153" s="183"/>
      <c r="C153" s="177"/>
      <c r="D153" s="177"/>
      <c r="E153" s="186"/>
      <c r="F153" s="177"/>
      <c r="G153" s="177"/>
      <c r="H153" s="185"/>
      <c r="I153" s="183"/>
      <c r="J153" s="177"/>
      <c r="K153" s="177"/>
      <c r="L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</row>
    <row r="154" spans="1:30" ht="12.75" customHeight="1">
      <c r="A154" s="172" t="s">
        <v>377</v>
      </c>
      <c r="B154" s="183" t="s">
        <v>378</v>
      </c>
      <c r="C154" s="177" t="s">
        <v>379</v>
      </c>
      <c r="D154" s="177" t="s">
        <v>380</v>
      </c>
      <c r="E154" s="186"/>
      <c r="F154" s="177"/>
      <c r="G154" s="177"/>
      <c r="H154" s="185"/>
      <c r="I154" s="183"/>
      <c r="J154" s="177"/>
      <c r="K154" s="177"/>
      <c r="L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</row>
    <row r="155" spans="1:30" ht="12.75" customHeight="1">
      <c r="A155" s="211">
        <f>Y90</f>
        <v>0</v>
      </c>
      <c r="B155" s="189">
        <f t="shared" ref="B155:B163" si="34">A155*350</f>
        <v>0</v>
      </c>
      <c r="C155" s="190" t="e">
        <f t="shared" ref="C155:C163" si="35">(B155/Y$89)*E$78</f>
        <v>#DIV/0!</v>
      </c>
      <c r="D155" s="190" t="e">
        <f t="shared" ref="D155:D163" si="36">(C155/50)/A$41</f>
        <v>#DIV/0!</v>
      </c>
      <c r="E155" s="186"/>
      <c r="F155" s="177"/>
      <c r="G155" s="177"/>
      <c r="H155" s="185"/>
      <c r="I155" s="183"/>
      <c r="J155" s="177"/>
      <c r="K155" s="177"/>
      <c r="L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</row>
    <row r="156" spans="1:30" ht="12.75" customHeight="1">
      <c r="A156" s="177">
        <v>3</v>
      </c>
      <c r="B156" s="189">
        <f t="shared" si="34"/>
        <v>1050</v>
      </c>
      <c r="C156" s="190" t="e">
        <f t="shared" si="35"/>
        <v>#DIV/0!</v>
      </c>
      <c r="D156" s="190" t="e">
        <f t="shared" si="36"/>
        <v>#DIV/0!</v>
      </c>
      <c r="E156" s="186"/>
      <c r="F156" s="177"/>
      <c r="G156" s="177"/>
      <c r="H156" s="185"/>
      <c r="I156" s="183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</row>
    <row r="157" spans="1:30" ht="12.75" customHeight="1">
      <c r="A157" s="177">
        <v>4</v>
      </c>
      <c r="B157" s="189">
        <f t="shared" si="34"/>
        <v>1400</v>
      </c>
      <c r="C157" s="190" t="e">
        <f t="shared" si="35"/>
        <v>#DIV/0!</v>
      </c>
      <c r="D157" s="190" t="e">
        <f t="shared" si="36"/>
        <v>#DIV/0!</v>
      </c>
      <c r="E157" s="186"/>
      <c r="F157" s="177"/>
      <c r="G157" s="177"/>
      <c r="H157" s="185"/>
      <c r="I157" s="183"/>
      <c r="J157" s="177"/>
      <c r="K157" s="177"/>
      <c r="L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</row>
    <row r="158" spans="1:30" ht="12.75" customHeight="1">
      <c r="A158" s="177">
        <v>5</v>
      </c>
      <c r="B158" s="189">
        <f t="shared" si="34"/>
        <v>1750</v>
      </c>
      <c r="C158" s="190" t="e">
        <f t="shared" si="35"/>
        <v>#DIV/0!</v>
      </c>
      <c r="D158" s="190" t="e">
        <f t="shared" si="36"/>
        <v>#DIV/0!</v>
      </c>
      <c r="E158" s="186"/>
      <c r="F158" s="177"/>
      <c r="G158" s="177"/>
      <c r="H158" s="185"/>
      <c r="I158" s="183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</row>
    <row r="159" spans="1:30" ht="12.75" customHeight="1">
      <c r="A159" s="177">
        <v>6</v>
      </c>
      <c r="B159" s="189">
        <f t="shared" si="34"/>
        <v>2100</v>
      </c>
      <c r="C159" s="190" t="e">
        <f t="shared" si="35"/>
        <v>#DIV/0!</v>
      </c>
      <c r="D159" s="190" t="e">
        <f t="shared" si="36"/>
        <v>#DIV/0!</v>
      </c>
      <c r="E159" s="186"/>
      <c r="F159" s="177"/>
      <c r="G159" s="177"/>
      <c r="H159" s="185"/>
      <c r="I159" s="183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</row>
    <row r="160" spans="1:30" ht="12.75" customHeight="1">
      <c r="A160" s="177">
        <v>7</v>
      </c>
      <c r="B160" s="189">
        <f t="shared" si="34"/>
        <v>2450</v>
      </c>
      <c r="C160" s="190" t="e">
        <f t="shared" si="35"/>
        <v>#DIV/0!</v>
      </c>
      <c r="D160" s="190" t="e">
        <f t="shared" si="36"/>
        <v>#DIV/0!</v>
      </c>
      <c r="E160" s="186"/>
      <c r="F160" s="177"/>
      <c r="G160" s="177"/>
      <c r="H160" s="185"/>
      <c r="I160" s="183"/>
      <c r="J160" s="177"/>
      <c r="K160" s="177"/>
      <c r="L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</row>
    <row r="161" spans="1:30" ht="12.75" customHeight="1">
      <c r="A161" s="177">
        <v>8</v>
      </c>
      <c r="B161" s="189">
        <f t="shared" si="34"/>
        <v>2800</v>
      </c>
      <c r="C161" s="190" t="e">
        <f t="shared" si="35"/>
        <v>#DIV/0!</v>
      </c>
      <c r="D161" s="190" t="e">
        <f t="shared" si="36"/>
        <v>#DIV/0!</v>
      </c>
      <c r="E161" s="186"/>
      <c r="F161" s="177"/>
      <c r="G161" s="177"/>
      <c r="H161" s="185"/>
      <c r="I161" s="183"/>
      <c r="J161" s="177"/>
      <c r="K161" s="177"/>
      <c r="L161" s="177"/>
      <c r="M161" s="177"/>
      <c r="N161" s="177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  <c r="AA161" s="177"/>
      <c r="AB161" s="177"/>
      <c r="AC161" s="177"/>
      <c r="AD161" s="177"/>
    </row>
    <row r="162" spans="1:30" ht="12.75" customHeight="1">
      <c r="A162" s="177">
        <v>9</v>
      </c>
      <c r="B162" s="189">
        <f t="shared" si="34"/>
        <v>3150</v>
      </c>
      <c r="C162" s="190" t="e">
        <f t="shared" si="35"/>
        <v>#DIV/0!</v>
      </c>
      <c r="D162" s="190" t="e">
        <f t="shared" si="36"/>
        <v>#DIV/0!</v>
      </c>
      <c r="E162" s="186"/>
      <c r="F162" s="177"/>
      <c r="G162" s="177"/>
      <c r="H162" s="185"/>
      <c r="I162" s="183"/>
      <c r="J162" s="177"/>
      <c r="K162" s="177"/>
      <c r="L162" s="177"/>
      <c r="M162" s="177"/>
      <c r="N162" s="177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77"/>
    </row>
    <row r="163" spans="1:30" ht="12.75" customHeight="1">
      <c r="A163" s="177">
        <v>10</v>
      </c>
      <c r="B163" s="189">
        <f t="shared" si="34"/>
        <v>3500</v>
      </c>
      <c r="C163" s="190" t="e">
        <f t="shared" si="35"/>
        <v>#DIV/0!</v>
      </c>
      <c r="D163" s="190" t="e">
        <f t="shared" si="36"/>
        <v>#DIV/0!</v>
      </c>
      <c r="E163" s="186"/>
      <c r="F163" s="177"/>
      <c r="G163" s="177"/>
      <c r="H163" s="185"/>
      <c r="I163" s="183"/>
      <c r="J163" s="177"/>
      <c r="K163" s="177"/>
      <c r="L163" s="177"/>
      <c r="M163" s="177"/>
      <c r="N163" s="177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77"/>
    </row>
    <row r="164" spans="1:30" ht="12.75" customHeight="1">
      <c r="A164" s="177"/>
      <c r="B164" s="183"/>
      <c r="C164" s="177"/>
      <c r="D164" s="177"/>
      <c r="E164" s="186"/>
      <c r="F164" s="177"/>
      <c r="G164" s="177"/>
      <c r="H164" s="185"/>
      <c r="I164" s="183"/>
      <c r="J164" s="177"/>
      <c r="K164" s="177"/>
      <c r="L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</row>
    <row r="165" spans="1:30" ht="12.75" customHeight="1">
      <c r="A165" s="177"/>
      <c r="B165" s="183"/>
      <c r="C165" s="177"/>
      <c r="D165" s="177"/>
      <c r="E165" s="186"/>
      <c r="F165" s="177"/>
      <c r="G165" s="177"/>
      <c r="H165" s="185"/>
      <c r="I165" s="183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</row>
    <row r="166" spans="1:30" ht="12.75" customHeight="1">
      <c r="A166" s="177"/>
      <c r="B166" s="183"/>
      <c r="C166" s="177"/>
      <c r="D166" s="177"/>
      <c r="E166" s="186"/>
      <c r="F166" s="177"/>
      <c r="G166" s="177"/>
      <c r="H166" s="185"/>
      <c r="I166" s="183"/>
      <c r="J166" s="177"/>
      <c r="K166" s="177"/>
      <c r="L166" s="177"/>
      <c r="M166" s="177"/>
      <c r="N166" s="177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77"/>
    </row>
    <row r="167" spans="1:30" ht="12.75" customHeight="1">
      <c r="A167" s="177"/>
      <c r="B167" s="183"/>
      <c r="C167" s="177"/>
      <c r="D167" s="177"/>
      <c r="E167" s="186"/>
      <c r="F167" s="177"/>
      <c r="G167" s="177"/>
      <c r="H167" s="185"/>
      <c r="I167" s="183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</row>
    <row r="168" spans="1:30" ht="12.75" customHeight="1">
      <c r="A168" s="177"/>
      <c r="B168" s="183"/>
      <c r="C168" s="177"/>
      <c r="D168" s="177"/>
      <c r="E168" s="186"/>
      <c r="F168" s="177"/>
      <c r="G168" s="177"/>
      <c r="H168" s="185"/>
      <c r="I168" s="183"/>
      <c r="J168" s="177"/>
      <c r="K168" s="177"/>
      <c r="L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</row>
    <row r="169" spans="1:30" ht="12.75" customHeight="1">
      <c r="A169" s="177"/>
      <c r="B169" s="183"/>
      <c r="C169" s="177"/>
      <c r="D169" s="177"/>
      <c r="E169" s="186"/>
      <c r="F169" s="177"/>
      <c r="G169" s="177"/>
      <c r="H169" s="185"/>
      <c r="I169" s="183"/>
      <c r="J169" s="177"/>
      <c r="K169" s="177"/>
      <c r="L169" s="177"/>
      <c r="M169" s="177"/>
      <c r="N169" s="177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77"/>
    </row>
    <row r="170" spans="1:30" ht="12.75" customHeight="1">
      <c r="A170" s="177"/>
      <c r="B170" s="183"/>
      <c r="C170" s="177"/>
      <c r="D170" s="177"/>
      <c r="E170" s="186"/>
      <c r="F170" s="177"/>
      <c r="G170" s="177"/>
      <c r="H170" s="185"/>
      <c r="I170" s="183"/>
      <c r="J170" s="177"/>
      <c r="K170" s="177"/>
      <c r="L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</row>
    <row r="171" spans="1:30" ht="12.75" customHeight="1">
      <c r="A171" s="177"/>
      <c r="B171" s="183"/>
      <c r="C171" s="177"/>
      <c r="D171" s="177"/>
      <c r="E171" s="186"/>
      <c r="F171" s="177"/>
      <c r="G171" s="177"/>
      <c r="H171" s="185"/>
      <c r="I171" s="183"/>
      <c r="J171" s="177"/>
      <c r="K171" s="177"/>
      <c r="L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</row>
    <row r="172" spans="1:30" ht="12.75" customHeight="1">
      <c r="A172" s="177"/>
      <c r="B172" s="183"/>
      <c r="C172" s="177"/>
      <c r="D172" s="177"/>
      <c r="E172" s="186"/>
      <c r="F172" s="177"/>
      <c r="G172" s="177"/>
      <c r="H172" s="185"/>
      <c r="I172" s="183"/>
      <c r="J172" s="177"/>
      <c r="K172" s="177"/>
      <c r="L172" s="177"/>
      <c r="M172" s="177"/>
      <c r="N172" s="177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77"/>
    </row>
    <row r="173" spans="1:30" ht="12.75" customHeight="1">
      <c r="A173" s="177"/>
      <c r="B173" s="183"/>
      <c r="C173" s="177"/>
      <c r="D173" s="177"/>
      <c r="E173" s="186"/>
      <c r="F173" s="177"/>
      <c r="G173" s="177"/>
      <c r="H173" s="185"/>
      <c r="I173" s="183"/>
      <c r="J173" s="177"/>
      <c r="K173" s="177"/>
      <c r="L173" s="177"/>
      <c r="M173" s="177"/>
      <c r="N173" s="177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77"/>
    </row>
    <row r="174" spans="1:30" ht="12.75" customHeight="1">
      <c r="A174" s="177"/>
      <c r="B174" s="183"/>
      <c r="C174" s="177"/>
      <c r="D174" s="177"/>
      <c r="E174" s="186"/>
      <c r="F174" s="177"/>
      <c r="G174" s="177"/>
      <c r="H174" s="185"/>
      <c r="I174" s="183"/>
      <c r="J174" s="177"/>
      <c r="K174" s="177"/>
      <c r="L174" s="177"/>
      <c r="M174" s="177"/>
      <c r="N174" s="177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77"/>
    </row>
    <row r="175" spans="1:30" ht="12.75" customHeight="1">
      <c r="A175" s="177"/>
      <c r="B175" s="183"/>
      <c r="C175" s="177"/>
      <c r="D175" s="177"/>
      <c r="E175" s="186"/>
      <c r="F175" s="177"/>
      <c r="G175" s="177"/>
      <c r="H175" s="185"/>
      <c r="I175" s="183"/>
      <c r="J175" s="177"/>
      <c r="K175" s="177"/>
      <c r="L175" s="177"/>
      <c r="M175" s="177"/>
      <c r="N175" s="177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77"/>
    </row>
    <row r="176" spans="1:30" ht="12.75" customHeight="1">
      <c r="A176" s="177"/>
      <c r="B176" s="183"/>
      <c r="C176" s="177"/>
      <c r="D176" s="177"/>
      <c r="E176" s="186"/>
      <c r="F176" s="177"/>
      <c r="G176" s="177"/>
      <c r="H176" s="185"/>
      <c r="I176" s="183"/>
      <c r="J176" s="177"/>
      <c r="K176" s="177"/>
      <c r="L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</row>
    <row r="177" spans="1:30" ht="12.75" customHeight="1">
      <c r="A177" s="177"/>
      <c r="B177" s="183"/>
      <c r="C177" s="177"/>
      <c r="D177" s="177"/>
      <c r="E177" s="186"/>
      <c r="F177" s="177"/>
      <c r="G177" s="177"/>
      <c r="H177" s="185"/>
      <c r="I177" s="183"/>
      <c r="J177" s="177"/>
      <c r="K177" s="177"/>
      <c r="L177" s="177"/>
      <c r="M177" s="177"/>
      <c r="N177" s="177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</row>
    <row r="178" spans="1:30" ht="12.75" customHeight="1">
      <c r="A178" s="177"/>
      <c r="B178" s="183"/>
      <c r="C178" s="177"/>
      <c r="D178" s="177"/>
      <c r="E178" s="186"/>
      <c r="F178" s="177"/>
      <c r="G178" s="177"/>
      <c r="H178" s="185"/>
      <c r="I178" s="183"/>
      <c r="J178" s="177"/>
      <c r="K178" s="177"/>
      <c r="L178" s="177"/>
      <c r="M178" s="177"/>
      <c r="N178" s="177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77"/>
    </row>
    <row r="179" spans="1:30" ht="12.75" customHeight="1">
      <c r="A179" s="177"/>
      <c r="B179" s="183"/>
      <c r="C179" s="177"/>
      <c r="D179" s="177"/>
      <c r="E179" s="186"/>
      <c r="F179" s="177"/>
      <c r="G179" s="177"/>
      <c r="H179" s="185"/>
      <c r="I179" s="183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</row>
    <row r="180" spans="1:30" ht="12.75" customHeight="1">
      <c r="A180" s="177"/>
      <c r="B180" s="183"/>
      <c r="C180" s="177"/>
      <c r="D180" s="177"/>
      <c r="E180" s="186"/>
      <c r="F180" s="177"/>
      <c r="G180" s="177"/>
      <c r="H180" s="185"/>
      <c r="I180" s="183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</row>
    <row r="181" spans="1:30" ht="12.75" customHeight="1">
      <c r="A181" s="177"/>
      <c r="B181" s="183"/>
      <c r="C181" s="177"/>
      <c r="D181" s="177"/>
      <c r="E181" s="186"/>
      <c r="F181" s="177"/>
      <c r="G181" s="177"/>
      <c r="H181" s="185"/>
      <c r="I181" s="183"/>
      <c r="J181" s="177"/>
      <c r="K181" s="177"/>
      <c r="L181" s="177"/>
      <c r="M181" s="177"/>
      <c r="N181" s="177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77"/>
    </row>
    <row r="182" spans="1:30" ht="12.75" customHeight="1">
      <c r="A182" s="177"/>
      <c r="B182" s="183"/>
      <c r="C182" s="177"/>
      <c r="D182" s="177"/>
      <c r="E182" s="186"/>
      <c r="F182" s="177"/>
      <c r="G182" s="177"/>
      <c r="H182" s="185"/>
      <c r="I182" s="183"/>
      <c r="J182" s="177"/>
      <c r="K182" s="177"/>
      <c r="L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77"/>
    </row>
    <row r="183" spans="1:30" ht="12.75" customHeight="1">
      <c r="A183" s="177"/>
      <c r="B183" s="183"/>
      <c r="C183" s="177"/>
      <c r="D183" s="177"/>
      <c r="E183" s="186"/>
      <c r="F183" s="177"/>
      <c r="G183" s="177"/>
      <c r="H183" s="185"/>
      <c r="I183" s="183"/>
      <c r="J183" s="177"/>
      <c r="K183" s="177"/>
      <c r="L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</row>
    <row r="184" spans="1:30" ht="12.75" customHeight="1">
      <c r="A184" s="177"/>
      <c r="B184" s="183"/>
      <c r="C184" s="177"/>
      <c r="D184" s="177"/>
      <c r="E184" s="186"/>
      <c r="F184" s="177"/>
      <c r="G184" s="177"/>
      <c r="H184" s="185"/>
      <c r="I184" s="183"/>
      <c r="J184" s="177"/>
      <c r="K184" s="177"/>
      <c r="L184" s="177"/>
      <c r="M184" s="177"/>
      <c r="N184" s="177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77"/>
    </row>
    <row r="185" spans="1:30" ht="12.75" customHeight="1">
      <c r="A185" s="177"/>
      <c r="B185" s="183"/>
      <c r="C185" s="177"/>
      <c r="D185" s="177"/>
      <c r="E185" s="186"/>
      <c r="F185" s="177"/>
      <c r="G185" s="177"/>
      <c r="H185" s="185"/>
      <c r="I185" s="183"/>
      <c r="J185" s="177"/>
      <c r="K185" s="177"/>
      <c r="L185" s="177"/>
      <c r="M185" s="177"/>
      <c r="N185" s="177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77"/>
    </row>
    <row r="186" spans="1:30" ht="12.75" customHeight="1">
      <c r="A186" s="177"/>
      <c r="B186" s="183"/>
      <c r="C186" s="177"/>
      <c r="D186" s="177"/>
      <c r="E186" s="186"/>
      <c r="F186" s="177"/>
      <c r="G186" s="177"/>
      <c r="H186" s="185"/>
      <c r="I186" s="183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</row>
    <row r="187" spans="1:30" ht="12.75" customHeight="1">
      <c r="A187" s="177"/>
      <c r="B187" s="183"/>
      <c r="C187" s="177"/>
      <c r="D187" s="177"/>
      <c r="E187" s="186"/>
      <c r="F187" s="177"/>
      <c r="G187" s="177"/>
      <c r="H187" s="185"/>
      <c r="I187" s="183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</row>
    <row r="188" spans="1:30" ht="12.75" customHeight="1">
      <c r="A188" s="177"/>
      <c r="B188" s="183"/>
      <c r="C188" s="177"/>
      <c r="D188" s="177"/>
      <c r="E188" s="186"/>
      <c r="F188" s="177"/>
      <c r="G188" s="177"/>
      <c r="H188" s="185"/>
      <c r="I188" s="183"/>
      <c r="J188" s="177"/>
      <c r="K188" s="177"/>
      <c r="L188" s="177"/>
      <c r="M188" s="177"/>
      <c r="N188" s="177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77"/>
    </row>
    <row r="189" spans="1:30" ht="12.75" customHeight="1">
      <c r="A189" s="177"/>
      <c r="B189" s="183"/>
      <c r="C189" s="177"/>
      <c r="D189" s="177"/>
      <c r="E189" s="186"/>
      <c r="F189" s="177"/>
      <c r="G189" s="177"/>
      <c r="H189" s="185"/>
      <c r="I189" s="183"/>
      <c r="J189" s="177"/>
      <c r="K189" s="177"/>
      <c r="L189" s="177"/>
      <c r="M189" s="177"/>
      <c r="N189" s="177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77"/>
    </row>
    <row r="190" spans="1:30" ht="12.75" customHeight="1">
      <c r="A190" s="177"/>
      <c r="B190" s="183"/>
      <c r="C190" s="177"/>
      <c r="D190" s="177"/>
      <c r="E190" s="186"/>
      <c r="F190" s="177"/>
      <c r="G190" s="177"/>
      <c r="H190" s="185"/>
      <c r="I190" s="183"/>
      <c r="J190" s="177"/>
      <c r="K190" s="177"/>
      <c r="L190" s="177"/>
      <c r="M190" s="177"/>
      <c r="N190" s="177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</row>
    <row r="191" spans="1:30" ht="12.75" customHeight="1">
      <c r="A191" s="177"/>
      <c r="B191" s="183"/>
      <c r="C191" s="177"/>
      <c r="D191" s="177"/>
      <c r="E191" s="186"/>
      <c r="F191" s="177"/>
      <c r="G191" s="177"/>
      <c r="H191" s="185"/>
      <c r="I191" s="183"/>
      <c r="J191" s="177"/>
      <c r="K191" s="177"/>
      <c r="L191" s="177"/>
      <c r="M191" s="177"/>
      <c r="N191" s="177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77"/>
    </row>
    <row r="192" spans="1:30" ht="12.75" customHeight="1">
      <c r="A192" s="177"/>
      <c r="B192" s="183"/>
      <c r="C192" s="177"/>
      <c r="D192" s="177"/>
      <c r="E192" s="186"/>
      <c r="F192" s="177"/>
      <c r="G192" s="177"/>
      <c r="H192" s="185"/>
      <c r="I192" s="183"/>
      <c r="J192" s="177"/>
      <c r="K192" s="177"/>
      <c r="L192" s="177"/>
      <c r="M192" s="177"/>
      <c r="N192" s="177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77"/>
    </row>
    <row r="193" spans="1:30" ht="12.75" customHeight="1">
      <c r="A193" s="177"/>
      <c r="B193" s="183"/>
      <c r="C193" s="177"/>
      <c r="D193" s="177"/>
      <c r="E193" s="186"/>
      <c r="F193" s="177"/>
      <c r="G193" s="177"/>
      <c r="H193" s="185"/>
      <c r="I193" s="183"/>
      <c r="J193" s="177"/>
      <c r="K193" s="177"/>
      <c r="L193" s="177"/>
      <c r="M193" s="177"/>
      <c r="N193" s="177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77"/>
    </row>
    <row r="194" spans="1:30" ht="12.75" customHeight="1">
      <c r="A194" s="177"/>
      <c r="B194" s="183"/>
      <c r="C194" s="177"/>
      <c r="D194" s="177"/>
      <c r="E194" s="186"/>
      <c r="F194" s="177"/>
      <c r="G194" s="177"/>
      <c r="H194" s="185"/>
      <c r="I194" s="183"/>
      <c r="J194" s="177"/>
      <c r="K194" s="177"/>
      <c r="L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77"/>
    </row>
    <row r="195" spans="1:30" ht="12.75" customHeight="1">
      <c r="A195" s="177"/>
      <c r="B195" s="183"/>
      <c r="C195" s="177"/>
      <c r="D195" s="177"/>
      <c r="E195" s="186"/>
      <c r="F195" s="177"/>
      <c r="G195" s="177"/>
      <c r="H195" s="185"/>
      <c r="I195" s="183"/>
      <c r="J195" s="177"/>
      <c r="K195" s="177"/>
      <c r="L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77"/>
    </row>
    <row r="196" spans="1:30" ht="12.75" customHeight="1">
      <c r="A196" s="177"/>
      <c r="B196" s="183"/>
      <c r="C196" s="177"/>
      <c r="D196" s="177"/>
      <c r="E196" s="186"/>
      <c r="F196" s="177"/>
      <c r="G196" s="177"/>
      <c r="H196" s="185"/>
      <c r="I196" s="183"/>
      <c r="J196" s="177"/>
      <c r="K196" s="177"/>
      <c r="L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77"/>
    </row>
    <row r="197" spans="1:30" ht="12.75" customHeight="1">
      <c r="A197" s="177"/>
      <c r="B197" s="183"/>
      <c r="C197" s="177"/>
      <c r="D197" s="177"/>
      <c r="E197" s="186"/>
      <c r="F197" s="177"/>
      <c r="G197" s="177"/>
      <c r="H197" s="185"/>
      <c r="I197" s="183"/>
      <c r="J197" s="177"/>
      <c r="K197" s="177"/>
      <c r="L197" s="177"/>
      <c r="M197" s="177"/>
      <c r="N197" s="177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77"/>
    </row>
    <row r="198" spans="1:30" ht="12.75" customHeight="1">
      <c r="A198" s="177"/>
      <c r="B198" s="183"/>
      <c r="C198" s="177"/>
      <c r="D198" s="177"/>
      <c r="E198" s="186"/>
      <c r="F198" s="177"/>
      <c r="G198" s="177"/>
      <c r="H198" s="185"/>
      <c r="I198" s="183"/>
      <c r="J198" s="177"/>
      <c r="K198" s="177"/>
      <c r="L198" s="177"/>
      <c r="M198" s="177"/>
      <c r="N198" s="177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77"/>
    </row>
    <row r="199" spans="1:30" ht="12.75" customHeight="1">
      <c r="A199" s="177"/>
      <c r="B199" s="183"/>
      <c r="C199" s="177"/>
      <c r="D199" s="177"/>
      <c r="E199" s="186"/>
      <c r="F199" s="177"/>
      <c r="G199" s="177"/>
      <c r="H199" s="185"/>
      <c r="I199" s="183"/>
      <c r="J199" s="177"/>
      <c r="K199" s="177"/>
      <c r="L199" s="177"/>
      <c r="M199" s="177"/>
      <c r="N199" s="177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77"/>
    </row>
    <row r="200" spans="1:30" ht="12.75" customHeight="1">
      <c r="A200" s="177"/>
      <c r="B200" s="183"/>
      <c r="C200" s="177"/>
      <c r="D200" s="177"/>
      <c r="E200" s="186"/>
      <c r="F200" s="177"/>
      <c r="G200" s="177"/>
      <c r="H200" s="185"/>
      <c r="I200" s="183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</row>
    <row r="201" spans="1:30" ht="12.75" customHeight="1">
      <c r="A201" s="177"/>
      <c r="B201" s="183"/>
      <c r="C201" s="177"/>
      <c r="D201" s="177"/>
      <c r="E201" s="186"/>
      <c r="F201" s="177"/>
      <c r="G201" s="177"/>
      <c r="H201" s="185"/>
      <c r="I201" s="183"/>
      <c r="J201" s="177"/>
      <c r="K201" s="177"/>
      <c r="L201" s="177"/>
      <c r="M201" s="177"/>
      <c r="N201" s="177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77"/>
    </row>
    <row r="202" spans="1:30" ht="12.75" customHeight="1">
      <c r="A202" s="177"/>
      <c r="B202" s="183"/>
      <c r="C202" s="177"/>
      <c r="D202" s="177"/>
      <c r="E202" s="186"/>
      <c r="F202" s="177"/>
      <c r="G202" s="177"/>
      <c r="H202" s="185"/>
      <c r="I202" s="183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</row>
    <row r="203" spans="1:30" ht="12.75" customHeight="1">
      <c r="A203" s="177"/>
      <c r="B203" s="183"/>
      <c r="C203" s="177"/>
      <c r="D203" s="177"/>
      <c r="E203" s="186"/>
      <c r="F203" s="177"/>
      <c r="G203" s="177"/>
      <c r="H203" s="185"/>
      <c r="I203" s="183"/>
      <c r="J203" s="177"/>
      <c r="K203" s="177"/>
      <c r="L203" s="177"/>
      <c r="M203" s="177"/>
      <c r="N203" s="177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77"/>
    </row>
    <row r="204" spans="1:30" ht="12.75" customHeight="1">
      <c r="A204" s="177"/>
      <c r="B204" s="183"/>
      <c r="C204" s="177"/>
      <c r="D204" s="177"/>
      <c r="E204" s="186"/>
      <c r="F204" s="177"/>
      <c r="G204" s="177"/>
      <c r="H204" s="185"/>
      <c r="I204" s="183"/>
      <c r="J204" s="177"/>
      <c r="K204" s="177"/>
      <c r="L204" s="177"/>
      <c r="M204" s="177"/>
      <c r="N204" s="177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77"/>
    </row>
    <row r="205" spans="1:30" ht="12.75" customHeight="1">
      <c r="A205" s="177"/>
      <c r="B205" s="183"/>
      <c r="C205" s="177"/>
      <c r="D205" s="177"/>
      <c r="E205" s="186"/>
      <c r="F205" s="177"/>
      <c r="G205" s="177"/>
      <c r="H205" s="185"/>
      <c r="I205" s="183"/>
      <c r="J205" s="177"/>
      <c r="K205" s="177"/>
      <c r="L205" s="177"/>
      <c r="M205" s="177"/>
      <c r="N205" s="177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</row>
    <row r="206" spans="1:30" ht="12.75" customHeight="1">
      <c r="A206" s="177"/>
      <c r="B206" s="183"/>
      <c r="C206" s="177"/>
      <c r="D206" s="177"/>
      <c r="E206" s="186"/>
      <c r="F206" s="177"/>
      <c r="G206" s="177"/>
      <c r="H206" s="185"/>
      <c r="I206" s="183"/>
      <c r="J206" s="177"/>
      <c r="K206" s="177"/>
      <c r="L206" s="177"/>
      <c r="M206" s="177"/>
      <c r="N206" s="177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77"/>
    </row>
    <row r="207" spans="1:30" ht="12.75" customHeight="1">
      <c r="A207" s="177"/>
      <c r="B207" s="183"/>
      <c r="C207" s="177"/>
      <c r="D207" s="177"/>
      <c r="E207" s="186"/>
      <c r="F207" s="177"/>
      <c r="G207" s="177"/>
      <c r="H207" s="185"/>
      <c r="I207" s="183"/>
      <c r="J207" s="177"/>
      <c r="K207" s="177"/>
      <c r="L207" s="177"/>
      <c r="M207" s="177"/>
      <c r="N207" s="177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77"/>
    </row>
    <row r="208" spans="1:30" ht="12.75" customHeight="1">
      <c r="A208" s="177"/>
      <c r="B208" s="183"/>
      <c r="C208" s="177"/>
      <c r="D208" s="177"/>
      <c r="E208" s="186"/>
      <c r="F208" s="177"/>
      <c r="G208" s="177"/>
      <c r="H208" s="185"/>
      <c r="I208" s="183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77"/>
    </row>
    <row r="209" spans="1:30" ht="12.75" customHeight="1">
      <c r="A209" s="177"/>
      <c r="B209" s="183"/>
      <c r="C209" s="177"/>
      <c r="D209" s="177"/>
      <c r="E209" s="186"/>
      <c r="F209" s="177"/>
      <c r="G209" s="177"/>
      <c r="H209" s="185"/>
      <c r="I209" s="183"/>
      <c r="J209" s="177"/>
      <c r="K209" s="177"/>
      <c r="L209" s="177"/>
      <c r="M209" s="177"/>
      <c r="N209" s="177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77"/>
    </row>
    <row r="210" spans="1:30" ht="12.75" customHeight="1">
      <c r="A210" s="177"/>
      <c r="B210" s="183"/>
      <c r="C210" s="177"/>
      <c r="D210" s="177"/>
      <c r="E210" s="186"/>
      <c r="F210" s="177"/>
      <c r="G210" s="177"/>
      <c r="H210" s="185"/>
      <c r="I210" s="183"/>
      <c r="J210" s="177"/>
      <c r="K210" s="177"/>
      <c r="L210" s="177"/>
      <c r="M210" s="177"/>
      <c r="N210" s="177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  <c r="AA210" s="177"/>
      <c r="AB210" s="177"/>
      <c r="AC210" s="177"/>
      <c r="AD210" s="177"/>
    </row>
    <row r="211" spans="1:30" ht="12.75" customHeight="1">
      <c r="A211" s="177"/>
      <c r="B211" s="183"/>
      <c r="C211" s="177"/>
      <c r="D211" s="177"/>
      <c r="E211" s="186"/>
      <c r="F211" s="177"/>
      <c r="G211" s="177"/>
      <c r="H211" s="185"/>
      <c r="I211" s="183"/>
      <c r="J211" s="177"/>
      <c r="K211" s="177"/>
      <c r="L211" s="177"/>
      <c r="M211" s="177"/>
      <c r="N211" s="177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77"/>
    </row>
    <row r="212" spans="1:30" ht="12.75" customHeight="1">
      <c r="A212" s="177"/>
      <c r="B212" s="183"/>
      <c r="C212" s="177"/>
      <c r="D212" s="177"/>
      <c r="E212" s="186"/>
      <c r="F212" s="177"/>
      <c r="G212" s="177"/>
      <c r="H212" s="185"/>
      <c r="I212" s="183"/>
      <c r="J212" s="177"/>
      <c r="K212" s="177"/>
      <c r="L212" s="177"/>
      <c r="M212" s="177"/>
      <c r="N212" s="177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77"/>
    </row>
    <row r="213" spans="1:30" ht="12.75" customHeight="1">
      <c r="A213" s="177"/>
      <c r="B213" s="183"/>
      <c r="C213" s="177"/>
      <c r="D213" s="177"/>
      <c r="E213" s="186"/>
      <c r="F213" s="177"/>
      <c r="G213" s="177"/>
      <c r="H213" s="185"/>
      <c r="I213" s="183"/>
      <c r="J213" s="177"/>
      <c r="K213" s="177"/>
      <c r="L213" s="177"/>
      <c r="M213" s="177"/>
      <c r="N213" s="177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77"/>
    </row>
    <row r="214" spans="1:30" ht="12.75" customHeight="1">
      <c r="A214" s="177"/>
      <c r="B214" s="183"/>
      <c r="C214" s="177"/>
      <c r="D214" s="177"/>
      <c r="E214" s="186"/>
      <c r="F214" s="177"/>
      <c r="G214" s="177"/>
      <c r="H214" s="185"/>
      <c r="I214" s="183"/>
      <c r="J214" s="177"/>
      <c r="K214" s="177"/>
      <c r="L214" s="177"/>
      <c r="M214" s="177"/>
      <c r="N214" s="177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77"/>
    </row>
    <row r="215" spans="1:30" ht="12.75" customHeight="1">
      <c r="A215" s="177"/>
      <c r="B215" s="183"/>
      <c r="C215" s="177"/>
      <c r="D215" s="177"/>
      <c r="E215" s="186"/>
      <c r="F215" s="177"/>
      <c r="G215" s="177"/>
      <c r="H215" s="185"/>
      <c r="I215" s="183"/>
      <c r="J215" s="177"/>
      <c r="K215" s="177"/>
      <c r="L215" s="177"/>
      <c r="M215" s="177"/>
      <c r="N215" s="177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</row>
    <row r="216" spans="1:30" ht="12.75" customHeight="1">
      <c r="A216" s="177"/>
      <c r="B216" s="183"/>
      <c r="C216" s="177"/>
      <c r="D216" s="177"/>
      <c r="E216" s="186"/>
      <c r="F216" s="177"/>
      <c r="G216" s="177"/>
      <c r="H216" s="185"/>
      <c r="I216" s="183"/>
      <c r="J216" s="177"/>
      <c r="K216" s="177"/>
      <c r="L216" s="177"/>
      <c r="M216" s="177"/>
      <c r="N216" s="177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</row>
    <row r="217" spans="1:30" ht="12.75" customHeight="1">
      <c r="A217" s="177"/>
      <c r="B217" s="183"/>
      <c r="C217" s="177"/>
      <c r="D217" s="177"/>
      <c r="E217" s="186"/>
      <c r="F217" s="177"/>
      <c r="G217" s="177"/>
      <c r="H217" s="185"/>
      <c r="I217" s="183"/>
      <c r="J217" s="177"/>
      <c r="K217" s="177"/>
      <c r="L217" s="177"/>
      <c r="M217" s="177"/>
      <c r="N217" s="177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</row>
    <row r="218" spans="1:30" ht="12.75" customHeight="1">
      <c r="A218" s="177"/>
      <c r="B218" s="183"/>
      <c r="C218" s="177"/>
      <c r="D218" s="177"/>
      <c r="E218" s="186"/>
      <c r="F218" s="177"/>
      <c r="G218" s="177"/>
      <c r="H218" s="185"/>
      <c r="I218" s="183"/>
      <c r="J218" s="177"/>
      <c r="K218" s="177"/>
      <c r="L218" s="177"/>
      <c r="M218" s="177"/>
      <c r="N218" s="177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</row>
    <row r="219" spans="1:30" ht="12.75" customHeight="1">
      <c r="A219" s="177"/>
      <c r="B219" s="183"/>
      <c r="C219" s="177"/>
      <c r="D219" s="177"/>
      <c r="E219" s="186"/>
      <c r="F219" s="177"/>
      <c r="G219" s="177"/>
      <c r="H219" s="185"/>
      <c r="I219" s="183"/>
      <c r="J219" s="177"/>
      <c r="K219" s="177"/>
      <c r="L219" s="177"/>
      <c r="M219" s="177"/>
      <c r="N219" s="177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</row>
    <row r="220" spans="1:30" ht="12.75" customHeight="1">
      <c r="A220" s="177"/>
      <c r="B220" s="183"/>
      <c r="C220" s="177"/>
      <c r="D220" s="177"/>
      <c r="E220" s="186"/>
      <c r="F220" s="177"/>
      <c r="G220" s="177"/>
      <c r="H220" s="185"/>
      <c r="I220" s="183"/>
      <c r="J220" s="177"/>
      <c r="K220" s="177"/>
      <c r="L220" s="177"/>
      <c r="M220" s="177"/>
      <c r="N220" s="177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</row>
    <row r="221" spans="1:30" ht="12.75" customHeight="1">
      <c r="A221" s="177"/>
      <c r="B221" s="183"/>
      <c r="C221" s="177"/>
      <c r="D221" s="177"/>
      <c r="E221" s="186"/>
      <c r="F221" s="177"/>
      <c r="G221" s="177"/>
      <c r="H221" s="185"/>
      <c r="I221" s="183"/>
      <c r="J221" s="177"/>
      <c r="K221" s="177"/>
      <c r="L221" s="177"/>
      <c r="M221" s="177"/>
      <c r="N221" s="177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</row>
    <row r="222" spans="1:30" ht="12.75" customHeight="1">
      <c r="A222" s="177"/>
      <c r="B222" s="183"/>
      <c r="C222" s="177"/>
      <c r="D222" s="177"/>
      <c r="E222" s="186"/>
      <c r="F222" s="177"/>
      <c r="G222" s="177"/>
      <c r="H222" s="185"/>
      <c r="I222" s="183"/>
      <c r="J222" s="177"/>
      <c r="K222" s="177"/>
      <c r="L222" s="177"/>
      <c r="M222" s="177"/>
      <c r="N222" s="177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77"/>
    </row>
    <row r="223" spans="1:30" ht="12.75" customHeight="1">
      <c r="A223" s="177"/>
      <c r="B223" s="183"/>
      <c r="C223" s="177"/>
      <c r="D223" s="177"/>
      <c r="E223" s="186"/>
      <c r="F223" s="177"/>
      <c r="G223" s="177"/>
      <c r="H223" s="185"/>
      <c r="I223" s="183"/>
      <c r="J223" s="177"/>
      <c r="K223" s="177"/>
      <c r="L223" s="177"/>
      <c r="M223" s="177"/>
      <c r="N223" s="177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</row>
    <row r="224" spans="1:30" ht="12.75" customHeight="1">
      <c r="A224" s="177"/>
      <c r="B224" s="183"/>
      <c r="C224" s="177"/>
      <c r="D224" s="177"/>
      <c r="E224" s="186"/>
      <c r="F224" s="177"/>
      <c r="G224" s="177"/>
      <c r="H224" s="185"/>
      <c r="I224" s="183"/>
      <c r="J224" s="177"/>
      <c r="K224" s="177"/>
      <c r="L224" s="177"/>
      <c r="M224" s="177"/>
      <c r="N224" s="177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</row>
    <row r="225" spans="1:30" ht="12.75" customHeight="1">
      <c r="A225" s="177"/>
      <c r="B225" s="183"/>
      <c r="C225" s="177"/>
      <c r="D225" s="177"/>
      <c r="E225" s="186"/>
      <c r="F225" s="177"/>
      <c r="G225" s="177"/>
      <c r="H225" s="185"/>
      <c r="I225" s="183"/>
      <c r="J225" s="177"/>
      <c r="K225" s="177"/>
      <c r="L225" s="177"/>
      <c r="M225" s="177"/>
      <c r="N225" s="177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</row>
    <row r="226" spans="1:30" ht="12.75" customHeight="1">
      <c r="A226" s="177"/>
      <c r="B226" s="183"/>
      <c r="C226" s="177"/>
      <c r="D226" s="177"/>
      <c r="E226" s="186"/>
      <c r="F226" s="177"/>
      <c r="G226" s="177"/>
      <c r="H226" s="185"/>
      <c r="I226" s="183"/>
      <c r="J226" s="177"/>
      <c r="K226" s="177"/>
      <c r="L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</row>
    <row r="227" spans="1:30" ht="12.75" customHeight="1">
      <c r="A227" s="177"/>
      <c r="B227" s="183"/>
      <c r="C227" s="177"/>
      <c r="D227" s="177"/>
      <c r="E227" s="186"/>
      <c r="F227" s="177"/>
      <c r="G227" s="177"/>
      <c r="H227" s="185"/>
      <c r="I227" s="183"/>
      <c r="J227" s="177"/>
      <c r="K227" s="177"/>
      <c r="L227" s="177"/>
      <c r="M227" s="177"/>
      <c r="N227" s="177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</row>
    <row r="228" spans="1:30" ht="12.75" customHeight="1">
      <c r="A228" s="177"/>
      <c r="B228" s="183"/>
      <c r="C228" s="177"/>
      <c r="D228" s="177"/>
      <c r="E228" s="186"/>
      <c r="F228" s="177"/>
      <c r="G228" s="177"/>
      <c r="H228" s="185"/>
      <c r="I228" s="183"/>
      <c r="J228" s="177"/>
      <c r="K228" s="177"/>
      <c r="L228" s="177"/>
      <c r="M228" s="177"/>
      <c r="N228" s="177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</row>
    <row r="229" spans="1:30" ht="12.75" customHeight="1">
      <c r="A229" s="177"/>
      <c r="B229" s="183"/>
      <c r="C229" s="177"/>
      <c r="D229" s="177"/>
      <c r="E229" s="186"/>
      <c r="F229" s="177"/>
      <c r="G229" s="177"/>
      <c r="H229" s="185"/>
      <c r="I229" s="183"/>
      <c r="J229" s="177"/>
      <c r="K229" s="177"/>
      <c r="L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</row>
    <row r="230" spans="1:30" ht="12.75" customHeight="1">
      <c r="A230" s="177"/>
      <c r="B230" s="183"/>
      <c r="C230" s="177"/>
      <c r="D230" s="177"/>
      <c r="E230" s="186"/>
      <c r="F230" s="177"/>
      <c r="G230" s="177"/>
      <c r="H230" s="185"/>
      <c r="I230" s="183"/>
      <c r="J230" s="177"/>
      <c r="K230" s="177"/>
      <c r="L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</row>
    <row r="231" spans="1:30" ht="12.75" customHeight="1">
      <c r="A231" s="177"/>
      <c r="B231" s="183"/>
      <c r="C231" s="177"/>
      <c r="D231" s="177"/>
      <c r="E231" s="186"/>
      <c r="F231" s="177"/>
      <c r="G231" s="177"/>
      <c r="H231" s="185"/>
      <c r="I231" s="183"/>
      <c r="J231" s="177"/>
      <c r="K231" s="177"/>
      <c r="L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</row>
    <row r="232" spans="1:30" ht="12.75" customHeight="1">
      <c r="A232" s="177"/>
      <c r="B232" s="183"/>
      <c r="C232" s="177"/>
      <c r="D232" s="177"/>
      <c r="E232" s="186"/>
      <c r="F232" s="177"/>
      <c r="G232" s="177"/>
      <c r="H232" s="185"/>
      <c r="I232" s="183"/>
      <c r="J232" s="177"/>
      <c r="K232" s="177"/>
      <c r="L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</row>
    <row r="233" spans="1:30" ht="12.75" customHeight="1">
      <c r="A233" s="177"/>
      <c r="B233" s="183"/>
      <c r="C233" s="177"/>
      <c r="D233" s="177"/>
      <c r="E233" s="186"/>
      <c r="F233" s="177"/>
      <c r="G233" s="177"/>
      <c r="H233" s="185"/>
      <c r="I233" s="183"/>
      <c r="J233" s="177"/>
      <c r="K233" s="177"/>
      <c r="L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</row>
    <row r="234" spans="1:30" ht="12.75" customHeight="1">
      <c r="A234" s="177"/>
      <c r="B234" s="183"/>
      <c r="C234" s="177"/>
      <c r="D234" s="177"/>
      <c r="E234" s="186"/>
      <c r="F234" s="177"/>
      <c r="G234" s="177"/>
      <c r="H234" s="185"/>
      <c r="I234" s="183"/>
      <c r="J234" s="177"/>
      <c r="K234" s="177"/>
      <c r="L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</row>
    <row r="235" spans="1:30" ht="12.75" customHeight="1">
      <c r="A235" s="177"/>
      <c r="B235" s="183"/>
      <c r="C235" s="177"/>
      <c r="D235" s="177"/>
      <c r="E235" s="186"/>
      <c r="F235" s="177"/>
      <c r="G235" s="177"/>
      <c r="H235" s="185"/>
      <c r="I235" s="183"/>
      <c r="J235" s="177"/>
      <c r="K235" s="177"/>
      <c r="L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</row>
    <row r="236" spans="1:30" ht="12.75" customHeight="1">
      <c r="A236" s="177"/>
      <c r="B236" s="183"/>
      <c r="C236" s="177"/>
      <c r="D236" s="177"/>
      <c r="E236" s="186"/>
      <c r="F236" s="177"/>
      <c r="G236" s="177"/>
      <c r="H236" s="185"/>
      <c r="I236" s="183"/>
      <c r="J236" s="177"/>
      <c r="K236" s="177"/>
      <c r="L236" s="177"/>
      <c r="M236" s="177"/>
      <c r="N236" s="177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</row>
    <row r="237" spans="1:30" ht="12.75" customHeight="1">
      <c r="A237" s="177"/>
      <c r="B237" s="183"/>
      <c r="C237" s="177"/>
      <c r="D237" s="177"/>
      <c r="E237" s="186"/>
      <c r="F237" s="177"/>
      <c r="G237" s="177"/>
      <c r="H237" s="185"/>
      <c r="I237" s="183"/>
      <c r="J237" s="177"/>
      <c r="K237" s="177"/>
      <c r="L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</row>
    <row r="238" spans="1:30" ht="12.75" customHeight="1">
      <c r="A238" s="177"/>
      <c r="B238" s="183"/>
      <c r="C238" s="177"/>
      <c r="D238" s="177"/>
      <c r="E238" s="186"/>
      <c r="F238" s="177"/>
      <c r="G238" s="177"/>
      <c r="H238" s="185"/>
      <c r="I238" s="183"/>
      <c r="J238" s="177"/>
      <c r="K238" s="177"/>
      <c r="L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</row>
    <row r="239" spans="1:30" ht="12.75" customHeight="1">
      <c r="A239" s="177"/>
      <c r="B239" s="183"/>
      <c r="C239" s="177"/>
      <c r="D239" s="177"/>
      <c r="E239" s="186"/>
      <c r="F239" s="177"/>
      <c r="G239" s="177"/>
      <c r="H239" s="185"/>
      <c r="I239" s="183"/>
      <c r="J239" s="177"/>
      <c r="K239" s="177"/>
      <c r="L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</row>
    <row r="240" spans="1:30" ht="12.75" customHeight="1">
      <c r="A240" s="177"/>
      <c r="B240" s="183"/>
      <c r="C240" s="177"/>
      <c r="D240" s="177"/>
      <c r="E240" s="186"/>
      <c r="F240" s="177"/>
      <c r="G240" s="177"/>
      <c r="H240" s="185"/>
      <c r="I240" s="183"/>
      <c r="J240" s="177"/>
      <c r="K240" s="177"/>
      <c r="L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</row>
    <row r="241" spans="1:30" ht="12.75" customHeight="1">
      <c r="A241" s="177"/>
      <c r="B241" s="183"/>
      <c r="C241" s="177"/>
      <c r="D241" s="177"/>
      <c r="E241" s="186"/>
      <c r="F241" s="177"/>
      <c r="G241" s="177"/>
      <c r="H241" s="185"/>
      <c r="I241" s="183"/>
      <c r="J241" s="177"/>
      <c r="K241" s="177"/>
      <c r="L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</row>
    <row r="242" spans="1:30" ht="12.75" customHeight="1">
      <c r="A242" s="177"/>
      <c r="B242" s="183"/>
      <c r="C242" s="177"/>
      <c r="D242" s="177"/>
      <c r="E242" s="186"/>
      <c r="F242" s="177"/>
      <c r="G242" s="177"/>
      <c r="H242" s="185"/>
      <c r="I242" s="183"/>
      <c r="J242" s="177"/>
      <c r="K242" s="177"/>
      <c r="L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</row>
    <row r="243" spans="1:30" ht="12.75" customHeight="1">
      <c r="A243" s="177"/>
      <c r="B243" s="183"/>
      <c r="C243" s="177"/>
      <c r="D243" s="177"/>
      <c r="E243" s="186"/>
      <c r="F243" s="177"/>
      <c r="G243" s="177"/>
      <c r="H243" s="185"/>
      <c r="I243" s="183"/>
      <c r="J243" s="177"/>
      <c r="K243" s="177"/>
      <c r="L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</row>
    <row r="244" spans="1:30" ht="12.75" customHeight="1">
      <c r="A244" s="177"/>
      <c r="B244" s="183"/>
      <c r="C244" s="177"/>
      <c r="D244" s="177"/>
      <c r="E244" s="186"/>
      <c r="F244" s="177"/>
      <c r="G244" s="177"/>
      <c r="H244" s="185"/>
      <c r="I244" s="183"/>
      <c r="J244" s="177"/>
      <c r="K244" s="177"/>
      <c r="L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</row>
    <row r="245" spans="1:30" ht="12.75" customHeight="1">
      <c r="A245" s="177"/>
      <c r="B245" s="183"/>
      <c r="C245" s="177"/>
      <c r="D245" s="177"/>
      <c r="E245" s="186"/>
      <c r="F245" s="177"/>
      <c r="G245" s="177"/>
      <c r="H245" s="185"/>
      <c r="I245" s="183"/>
      <c r="J245" s="177"/>
      <c r="K245" s="177"/>
      <c r="L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</row>
    <row r="246" spans="1:30" ht="12.75" customHeight="1">
      <c r="A246" s="177"/>
      <c r="B246" s="183"/>
      <c r="C246" s="177"/>
      <c r="D246" s="177"/>
      <c r="E246" s="186"/>
      <c r="F246" s="177"/>
      <c r="G246" s="177"/>
      <c r="H246" s="185"/>
      <c r="I246" s="183"/>
      <c r="J246" s="177"/>
      <c r="K246" s="177"/>
      <c r="L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</row>
    <row r="247" spans="1:30" ht="12.75" customHeight="1">
      <c r="A247" s="177"/>
      <c r="B247" s="183"/>
      <c r="C247" s="177"/>
      <c r="D247" s="177"/>
      <c r="E247" s="186"/>
      <c r="F247" s="177"/>
      <c r="G247" s="177"/>
      <c r="H247" s="185"/>
      <c r="I247" s="183"/>
      <c r="J247" s="177"/>
      <c r="K247" s="177"/>
      <c r="L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</row>
    <row r="248" spans="1:30" ht="12.75" customHeight="1">
      <c r="A248" s="177"/>
      <c r="B248" s="183"/>
      <c r="C248" s="177"/>
      <c r="D248" s="177"/>
      <c r="E248" s="186"/>
      <c r="F248" s="177"/>
      <c r="G248" s="177"/>
      <c r="H248" s="185"/>
      <c r="I248" s="183"/>
      <c r="J248" s="177"/>
      <c r="K248" s="177"/>
      <c r="L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</row>
    <row r="249" spans="1:30" ht="12.75" customHeight="1">
      <c r="A249" s="177"/>
      <c r="B249" s="183"/>
      <c r="C249" s="177"/>
      <c r="D249" s="177"/>
      <c r="E249" s="186"/>
      <c r="F249" s="177"/>
      <c r="G249" s="177"/>
      <c r="H249" s="185"/>
      <c r="I249" s="183"/>
      <c r="J249" s="177"/>
      <c r="K249" s="177"/>
      <c r="L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</row>
    <row r="250" spans="1:30" ht="12.75" customHeight="1">
      <c r="A250" s="177"/>
      <c r="B250" s="183"/>
      <c r="C250" s="177"/>
      <c r="D250" s="177"/>
      <c r="E250" s="186"/>
      <c r="F250" s="177"/>
      <c r="G250" s="177"/>
      <c r="H250" s="185"/>
      <c r="I250" s="183"/>
      <c r="J250" s="177"/>
      <c r="K250" s="177"/>
      <c r="L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</row>
    <row r="251" spans="1:30" ht="12.75" customHeight="1">
      <c r="A251" s="177"/>
      <c r="B251" s="183"/>
      <c r="C251" s="177"/>
      <c r="D251" s="177"/>
      <c r="E251" s="186"/>
      <c r="F251" s="177"/>
      <c r="G251" s="177"/>
      <c r="H251" s="185"/>
      <c r="I251" s="183"/>
      <c r="J251" s="177"/>
      <c r="K251" s="177"/>
      <c r="L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</row>
    <row r="252" spans="1:30" ht="12.75" customHeight="1">
      <c r="A252" s="177"/>
      <c r="B252" s="183"/>
      <c r="C252" s="177"/>
      <c r="D252" s="177"/>
      <c r="E252" s="186"/>
      <c r="F252" s="177"/>
      <c r="G252" s="177"/>
      <c r="H252" s="185"/>
      <c r="I252" s="183"/>
      <c r="J252" s="177"/>
      <c r="K252" s="177"/>
      <c r="L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</row>
    <row r="253" spans="1:30" ht="12.75" customHeight="1">
      <c r="A253" s="177"/>
      <c r="B253" s="183"/>
      <c r="C253" s="177"/>
      <c r="D253" s="177"/>
      <c r="E253" s="186"/>
      <c r="F253" s="177"/>
      <c r="G253" s="177"/>
      <c r="H253" s="185"/>
      <c r="I253" s="183"/>
      <c r="J253" s="177"/>
      <c r="K253" s="177"/>
      <c r="L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</row>
    <row r="254" spans="1:30" ht="12.75" customHeight="1">
      <c r="A254" s="177"/>
      <c r="B254" s="183"/>
      <c r="C254" s="177"/>
      <c r="D254" s="177"/>
      <c r="E254" s="186"/>
      <c r="F254" s="177"/>
      <c r="G254" s="177"/>
      <c r="H254" s="185"/>
      <c r="I254" s="183"/>
      <c r="J254" s="177"/>
      <c r="K254" s="177"/>
      <c r="L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</row>
    <row r="255" spans="1:30" ht="12.75" customHeight="1">
      <c r="A255" s="177"/>
      <c r="B255" s="183"/>
      <c r="C255" s="177"/>
      <c r="D255" s="177"/>
      <c r="E255" s="186"/>
      <c r="F255" s="177"/>
      <c r="G255" s="177"/>
      <c r="H255" s="185"/>
      <c r="I255" s="183"/>
      <c r="J255" s="177"/>
      <c r="K255" s="177"/>
      <c r="L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</row>
    <row r="256" spans="1:30" ht="12.75" customHeight="1">
      <c r="A256" s="177"/>
      <c r="B256" s="183"/>
      <c r="C256" s="177"/>
      <c r="D256" s="177"/>
      <c r="E256" s="186"/>
      <c r="F256" s="177"/>
      <c r="G256" s="177"/>
      <c r="H256" s="185"/>
      <c r="I256" s="183"/>
      <c r="J256" s="177"/>
      <c r="K256" s="177"/>
      <c r="L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</row>
    <row r="257" spans="1:30" ht="12.75" customHeight="1">
      <c r="A257" s="177"/>
      <c r="B257" s="183"/>
      <c r="C257" s="177"/>
      <c r="D257" s="177"/>
      <c r="E257" s="186"/>
      <c r="F257" s="177"/>
      <c r="G257" s="177"/>
      <c r="H257" s="185"/>
      <c r="I257" s="183"/>
      <c r="J257" s="177"/>
      <c r="K257" s="177"/>
      <c r="L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</row>
    <row r="258" spans="1:30" ht="12.75" customHeight="1">
      <c r="A258" s="177"/>
      <c r="B258" s="183"/>
      <c r="C258" s="177"/>
      <c r="D258" s="177"/>
      <c r="E258" s="186"/>
      <c r="F258" s="177"/>
      <c r="G258" s="177"/>
      <c r="H258" s="185"/>
      <c r="I258" s="183"/>
      <c r="J258" s="177"/>
      <c r="K258" s="177"/>
      <c r="L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</row>
    <row r="259" spans="1:30" ht="12.75" customHeight="1">
      <c r="A259" s="177"/>
      <c r="B259" s="183"/>
      <c r="C259" s="177"/>
      <c r="D259" s="177"/>
      <c r="E259" s="186"/>
      <c r="F259" s="177"/>
      <c r="G259" s="177"/>
      <c r="H259" s="185"/>
      <c r="I259" s="183"/>
      <c r="J259" s="177"/>
      <c r="K259" s="177"/>
      <c r="L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</row>
    <row r="260" spans="1:30" ht="12.75" customHeight="1">
      <c r="A260" s="177"/>
      <c r="B260" s="183"/>
      <c r="C260" s="177"/>
      <c r="D260" s="177"/>
      <c r="E260" s="186"/>
      <c r="F260" s="177"/>
      <c r="G260" s="177"/>
      <c r="H260" s="185"/>
      <c r="I260" s="183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</row>
    <row r="261" spans="1:30" ht="12.75" customHeight="1">
      <c r="A261" s="177"/>
      <c r="B261" s="183"/>
      <c r="C261" s="177"/>
      <c r="D261" s="177"/>
      <c r="E261" s="186"/>
      <c r="F261" s="177"/>
      <c r="G261" s="177"/>
      <c r="H261" s="185"/>
      <c r="I261" s="183"/>
      <c r="J261" s="177"/>
      <c r="K261" s="177"/>
      <c r="L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</row>
    <row r="262" spans="1:30" ht="12.75" customHeight="1">
      <c r="A262" s="177"/>
      <c r="B262" s="183"/>
      <c r="C262" s="177"/>
      <c r="D262" s="177"/>
      <c r="E262" s="186"/>
      <c r="F262" s="177"/>
      <c r="G262" s="177"/>
      <c r="H262" s="185"/>
      <c r="I262" s="183"/>
      <c r="J262" s="177"/>
      <c r="K262" s="177"/>
      <c r="L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</row>
    <row r="263" spans="1:30" ht="12.75" customHeight="1">
      <c r="A263" s="177"/>
      <c r="B263" s="183"/>
      <c r="C263" s="177"/>
      <c r="D263" s="177"/>
      <c r="E263" s="186"/>
      <c r="F263" s="177"/>
      <c r="G263" s="177"/>
      <c r="H263" s="185"/>
      <c r="I263" s="183"/>
      <c r="J263" s="177"/>
      <c r="K263" s="177"/>
      <c r="L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</row>
    <row r="264" spans="1:30" ht="12.75" customHeight="1">
      <c r="A264" s="177"/>
      <c r="B264" s="183"/>
      <c r="C264" s="177"/>
      <c r="D264" s="177"/>
      <c r="E264" s="186"/>
      <c r="F264" s="177"/>
      <c r="G264" s="177"/>
      <c r="H264" s="185"/>
      <c r="I264" s="183"/>
      <c r="J264" s="177"/>
      <c r="K264" s="177"/>
      <c r="L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</row>
    <row r="265" spans="1:30" ht="12.75" customHeight="1">
      <c r="A265" s="177"/>
      <c r="B265" s="183"/>
      <c r="C265" s="177"/>
      <c r="D265" s="177"/>
      <c r="E265" s="186"/>
      <c r="F265" s="177"/>
      <c r="G265" s="177"/>
      <c r="H265" s="185"/>
      <c r="I265" s="183"/>
      <c r="J265" s="177"/>
      <c r="K265" s="177"/>
      <c r="L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</row>
    <row r="266" spans="1:30" ht="12.75" customHeight="1">
      <c r="A266" s="177"/>
      <c r="B266" s="183"/>
      <c r="C266" s="177"/>
      <c r="D266" s="177"/>
      <c r="E266" s="186"/>
      <c r="F266" s="177"/>
      <c r="G266" s="177"/>
      <c r="H266" s="185"/>
      <c r="I266" s="183"/>
      <c r="J266" s="177"/>
      <c r="K266" s="177"/>
      <c r="L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</row>
    <row r="267" spans="1:30" ht="12.75" customHeight="1">
      <c r="A267" s="177"/>
      <c r="B267" s="183"/>
      <c r="C267" s="177"/>
      <c r="D267" s="177"/>
      <c r="E267" s="186"/>
      <c r="F267" s="177"/>
      <c r="G267" s="177"/>
      <c r="H267" s="185"/>
      <c r="I267" s="183"/>
      <c r="J267" s="177"/>
      <c r="K267" s="177"/>
      <c r="L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</row>
    <row r="268" spans="1:30" ht="12.75" customHeight="1">
      <c r="A268" s="177"/>
      <c r="B268" s="183"/>
      <c r="C268" s="177"/>
      <c r="D268" s="177"/>
      <c r="E268" s="186"/>
      <c r="F268" s="177"/>
      <c r="G268" s="177"/>
      <c r="H268" s="185"/>
      <c r="I268" s="183"/>
      <c r="J268" s="177"/>
      <c r="K268" s="177"/>
      <c r="L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</row>
    <row r="269" spans="1:30" ht="12.75" customHeight="1">
      <c r="A269" s="177"/>
      <c r="B269" s="183"/>
      <c r="C269" s="177"/>
      <c r="D269" s="177"/>
      <c r="E269" s="186"/>
      <c r="F269" s="177"/>
      <c r="G269" s="177"/>
      <c r="H269" s="185"/>
      <c r="I269" s="183"/>
      <c r="J269" s="177"/>
      <c r="K269" s="177"/>
      <c r="L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</row>
    <row r="270" spans="1:30" ht="12.75" customHeight="1">
      <c r="A270" s="177"/>
      <c r="B270" s="183"/>
      <c r="C270" s="177"/>
      <c r="D270" s="177"/>
      <c r="E270" s="186"/>
      <c r="F270" s="177"/>
      <c r="G270" s="177"/>
      <c r="H270" s="185"/>
      <c r="I270" s="183"/>
      <c r="J270" s="177"/>
      <c r="K270" s="177"/>
      <c r="L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</row>
    <row r="271" spans="1:30" ht="12.75" customHeight="1">
      <c r="A271" s="177"/>
      <c r="B271" s="183"/>
      <c r="C271" s="177"/>
      <c r="D271" s="177"/>
      <c r="E271" s="186"/>
      <c r="F271" s="177"/>
      <c r="G271" s="177"/>
      <c r="H271" s="185"/>
      <c r="I271" s="183"/>
      <c r="J271" s="177"/>
      <c r="K271" s="177"/>
      <c r="L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</row>
    <row r="272" spans="1:30" ht="12.75" customHeight="1">
      <c r="A272" s="177"/>
      <c r="B272" s="183"/>
      <c r="C272" s="177"/>
      <c r="D272" s="177"/>
      <c r="E272" s="186"/>
      <c r="F272" s="177"/>
      <c r="G272" s="177"/>
      <c r="H272" s="185"/>
      <c r="I272" s="183"/>
      <c r="J272" s="177"/>
      <c r="K272" s="177"/>
      <c r="L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</row>
    <row r="273" spans="1:30" ht="12.75" customHeight="1">
      <c r="A273" s="177"/>
      <c r="B273" s="183"/>
      <c r="C273" s="177"/>
      <c r="D273" s="177"/>
      <c r="E273" s="186"/>
      <c r="F273" s="177"/>
      <c r="G273" s="177"/>
      <c r="H273" s="185"/>
      <c r="I273" s="183"/>
      <c r="J273" s="177"/>
      <c r="K273" s="177"/>
      <c r="L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</row>
    <row r="274" spans="1:30" ht="12.75" customHeight="1">
      <c r="A274" s="177"/>
      <c r="B274" s="183"/>
      <c r="C274" s="177"/>
      <c r="D274" s="177"/>
      <c r="E274" s="186"/>
      <c r="F274" s="177"/>
      <c r="G274" s="177"/>
      <c r="H274" s="185"/>
      <c r="I274" s="183"/>
      <c r="J274" s="177"/>
      <c r="K274" s="177"/>
      <c r="L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</row>
    <row r="275" spans="1:30" ht="12.75" customHeight="1">
      <c r="A275" s="177"/>
      <c r="B275" s="183"/>
      <c r="C275" s="177"/>
      <c r="D275" s="177"/>
      <c r="E275" s="186"/>
      <c r="F275" s="177"/>
      <c r="G275" s="177"/>
      <c r="H275" s="185"/>
      <c r="I275" s="183"/>
      <c r="J275" s="177"/>
      <c r="K275" s="177"/>
      <c r="L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</row>
    <row r="276" spans="1:30" ht="12.75" customHeight="1">
      <c r="A276" s="177"/>
      <c r="B276" s="183"/>
      <c r="C276" s="177"/>
      <c r="D276" s="177"/>
      <c r="E276" s="186"/>
      <c r="F276" s="177"/>
      <c r="G276" s="177"/>
      <c r="H276" s="185"/>
      <c r="I276" s="183"/>
      <c r="J276" s="177"/>
      <c r="K276" s="177"/>
      <c r="L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</row>
    <row r="277" spans="1:30" ht="12.75" customHeight="1">
      <c r="A277" s="177"/>
      <c r="B277" s="183"/>
      <c r="C277" s="177"/>
      <c r="D277" s="177"/>
      <c r="E277" s="186"/>
      <c r="F277" s="177"/>
      <c r="G277" s="177"/>
      <c r="H277" s="185"/>
      <c r="I277" s="183"/>
      <c r="J277" s="177"/>
      <c r="K277" s="177"/>
      <c r="L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</row>
    <row r="278" spans="1:30" ht="12.75" customHeight="1">
      <c r="A278" s="177"/>
      <c r="B278" s="183"/>
      <c r="C278" s="177"/>
      <c r="D278" s="177"/>
      <c r="E278" s="186"/>
      <c r="F278" s="177"/>
      <c r="G278" s="177"/>
      <c r="H278" s="185"/>
      <c r="I278" s="183"/>
      <c r="J278" s="177"/>
      <c r="K278" s="177"/>
      <c r="L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</row>
    <row r="279" spans="1:30" ht="12.75" customHeight="1">
      <c r="A279" s="177"/>
      <c r="B279" s="183"/>
      <c r="C279" s="177"/>
      <c r="D279" s="177"/>
      <c r="E279" s="186"/>
      <c r="F279" s="177"/>
      <c r="G279" s="177"/>
      <c r="H279" s="185"/>
      <c r="I279" s="183"/>
      <c r="J279" s="177"/>
      <c r="K279" s="177"/>
      <c r="L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</row>
    <row r="280" spans="1:30" ht="12.75" customHeight="1">
      <c r="A280" s="177"/>
      <c r="B280" s="183"/>
      <c r="C280" s="177"/>
      <c r="D280" s="177"/>
      <c r="E280" s="186"/>
      <c r="F280" s="177"/>
      <c r="G280" s="177"/>
      <c r="H280" s="185"/>
      <c r="I280" s="183"/>
      <c r="J280" s="177"/>
      <c r="K280" s="177"/>
      <c r="L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</row>
    <row r="281" spans="1:30" ht="12.75" customHeight="1">
      <c r="A281" s="177"/>
      <c r="B281" s="183"/>
      <c r="C281" s="177"/>
      <c r="D281" s="177"/>
      <c r="E281" s="186"/>
      <c r="F281" s="177"/>
      <c r="G281" s="177"/>
      <c r="H281" s="185"/>
      <c r="I281" s="183"/>
      <c r="J281" s="177"/>
      <c r="K281" s="177"/>
      <c r="L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</row>
    <row r="282" spans="1:30" ht="12.75" customHeight="1">
      <c r="A282" s="177"/>
      <c r="B282" s="183"/>
      <c r="C282" s="177"/>
      <c r="D282" s="177"/>
      <c r="E282" s="186"/>
      <c r="F282" s="177"/>
      <c r="G282" s="177"/>
      <c r="H282" s="185"/>
      <c r="I282" s="183"/>
      <c r="J282" s="177"/>
      <c r="K282" s="177"/>
      <c r="L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</row>
    <row r="283" spans="1:30" ht="12.75" customHeight="1">
      <c r="A283" s="177"/>
      <c r="B283" s="183"/>
      <c r="C283" s="177"/>
      <c r="D283" s="177"/>
      <c r="E283" s="186"/>
      <c r="F283" s="177"/>
      <c r="G283" s="177"/>
      <c r="H283" s="185"/>
      <c r="I283" s="183"/>
      <c r="J283" s="177"/>
      <c r="K283" s="177"/>
      <c r="L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</row>
    <row r="284" spans="1:30" ht="12.75" customHeight="1">
      <c r="A284" s="177"/>
      <c r="B284" s="183"/>
      <c r="C284" s="177"/>
      <c r="D284" s="177"/>
      <c r="E284" s="186"/>
      <c r="F284" s="177"/>
      <c r="G284" s="177"/>
      <c r="H284" s="185"/>
      <c r="I284" s="183"/>
      <c r="J284" s="177"/>
      <c r="K284" s="177"/>
      <c r="L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</row>
    <row r="285" spans="1:30" ht="12.75" customHeight="1">
      <c r="A285" s="177"/>
      <c r="B285" s="183"/>
      <c r="C285" s="177"/>
      <c r="D285" s="177"/>
      <c r="E285" s="186"/>
      <c r="F285" s="177"/>
      <c r="G285" s="177"/>
      <c r="H285" s="185"/>
      <c r="I285" s="183"/>
      <c r="J285" s="177"/>
      <c r="K285" s="177"/>
      <c r="L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</row>
    <row r="286" spans="1:30" ht="12.75" customHeight="1">
      <c r="A286" s="177"/>
      <c r="B286" s="183"/>
      <c r="C286" s="177"/>
      <c r="D286" s="177"/>
      <c r="E286" s="186"/>
      <c r="F286" s="177"/>
      <c r="G286" s="177"/>
      <c r="H286" s="185"/>
      <c r="I286" s="183"/>
      <c r="J286" s="177"/>
      <c r="K286" s="177"/>
      <c r="L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</row>
    <row r="287" spans="1:30" ht="12.75" customHeight="1">
      <c r="A287" s="177"/>
      <c r="B287" s="183"/>
      <c r="C287" s="177"/>
      <c r="D287" s="177"/>
      <c r="E287" s="186"/>
      <c r="F287" s="177"/>
      <c r="G287" s="177"/>
      <c r="H287" s="185"/>
      <c r="I287" s="183"/>
      <c r="J287" s="177"/>
      <c r="K287" s="177"/>
      <c r="L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</row>
    <row r="288" spans="1:30" ht="12.75" customHeight="1">
      <c r="A288" s="177"/>
      <c r="B288" s="183"/>
      <c r="C288" s="177"/>
      <c r="D288" s="177"/>
      <c r="E288" s="186"/>
      <c r="F288" s="177"/>
      <c r="G288" s="177"/>
      <c r="H288" s="185"/>
      <c r="I288" s="183"/>
      <c r="J288" s="177"/>
      <c r="K288" s="177"/>
      <c r="L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</row>
    <row r="289" spans="1:30" ht="12.75" customHeight="1">
      <c r="A289" s="177"/>
      <c r="B289" s="183"/>
      <c r="C289" s="177"/>
      <c r="D289" s="177"/>
      <c r="E289" s="186"/>
      <c r="F289" s="177"/>
      <c r="G289" s="177"/>
      <c r="H289" s="185"/>
      <c r="I289" s="183"/>
      <c r="J289" s="177"/>
      <c r="K289" s="177"/>
      <c r="L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</row>
    <row r="290" spans="1:30" ht="12.75" customHeight="1">
      <c r="A290" s="177"/>
      <c r="B290" s="183"/>
      <c r="C290" s="177"/>
      <c r="D290" s="177"/>
      <c r="E290" s="186"/>
      <c r="F290" s="177"/>
      <c r="G290" s="177"/>
      <c r="H290" s="185"/>
      <c r="I290" s="183"/>
      <c r="J290" s="177"/>
      <c r="K290" s="177"/>
      <c r="L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</row>
    <row r="291" spans="1:30" ht="12.75" customHeight="1">
      <c r="A291" s="177"/>
      <c r="B291" s="183"/>
      <c r="C291" s="177"/>
      <c r="D291" s="177"/>
      <c r="E291" s="186"/>
      <c r="F291" s="177"/>
      <c r="G291" s="177"/>
      <c r="H291" s="185"/>
      <c r="I291" s="183"/>
      <c r="J291" s="177"/>
      <c r="K291" s="177"/>
      <c r="L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</row>
    <row r="292" spans="1:30" ht="12.75" customHeight="1">
      <c r="A292" s="177"/>
      <c r="B292" s="183"/>
      <c r="C292" s="177"/>
      <c r="D292" s="177"/>
      <c r="E292" s="186"/>
      <c r="F292" s="177"/>
      <c r="G292" s="177"/>
      <c r="H292" s="185"/>
      <c r="I292" s="183"/>
      <c r="J292" s="177"/>
      <c r="K292" s="177"/>
      <c r="L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</row>
    <row r="293" spans="1:30" ht="12.75" customHeight="1">
      <c r="A293" s="177"/>
      <c r="B293" s="183"/>
      <c r="C293" s="177"/>
      <c r="D293" s="177"/>
      <c r="E293" s="186"/>
      <c r="F293" s="177"/>
      <c r="G293" s="177"/>
      <c r="H293" s="185"/>
      <c r="I293" s="183"/>
      <c r="J293" s="177"/>
      <c r="K293" s="177"/>
      <c r="L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</row>
    <row r="294" spans="1:30" ht="12.75" customHeight="1">
      <c r="A294" s="177"/>
      <c r="B294" s="183"/>
      <c r="C294" s="177"/>
      <c r="D294" s="177"/>
      <c r="E294" s="186"/>
      <c r="F294" s="177"/>
      <c r="G294" s="177"/>
      <c r="H294" s="185"/>
      <c r="I294" s="183"/>
      <c r="J294" s="177"/>
      <c r="K294" s="177"/>
      <c r="L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</row>
    <row r="295" spans="1:30" ht="12.75" customHeight="1">
      <c r="A295" s="177"/>
      <c r="B295" s="183"/>
      <c r="C295" s="177"/>
      <c r="D295" s="177"/>
      <c r="E295" s="186"/>
      <c r="F295" s="177"/>
      <c r="G295" s="177"/>
      <c r="H295" s="185"/>
      <c r="I295" s="183"/>
      <c r="J295" s="177"/>
      <c r="K295" s="177"/>
      <c r="L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</row>
    <row r="296" spans="1:30" ht="12.75" customHeight="1">
      <c r="A296" s="177"/>
      <c r="B296" s="183"/>
      <c r="C296" s="177"/>
      <c r="D296" s="177"/>
      <c r="E296" s="186"/>
      <c r="F296" s="177"/>
      <c r="G296" s="177"/>
      <c r="H296" s="185"/>
      <c r="I296" s="183"/>
      <c r="J296" s="177"/>
      <c r="K296" s="177"/>
      <c r="L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</row>
    <row r="297" spans="1:30" ht="12.75" customHeight="1">
      <c r="A297" s="177"/>
      <c r="B297" s="183"/>
      <c r="C297" s="177"/>
      <c r="D297" s="177"/>
      <c r="E297" s="186"/>
      <c r="F297" s="177"/>
      <c r="G297" s="177"/>
      <c r="H297" s="185"/>
      <c r="I297" s="183"/>
      <c r="J297" s="177"/>
      <c r="K297" s="177"/>
      <c r="L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</row>
    <row r="298" spans="1:30" ht="12.75" customHeight="1">
      <c r="A298" s="177"/>
      <c r="B298" s="183"/>
      <c r="C298" s="177"/>
      <c r="D298" s="177"/>
      <c r="E298" s="186"/>
      <c r="F298" s="177"/>
      <c r="G298" s="177"/>
      <c r="H298" s="185"/>
      <c r="I298" s="183"/>
      <c r="J298" s="177"/>
      <c r="K298" s="177"/>
      <c r="L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</row>
    <row r="299" spans="1:30" ht="12.75" customHeight="1">
      <c r="A299" s="177"/>
      <c r="B299" s="183"/>
      <c r="C299" s="177"/>
      <c r="D299" s="177"/>
      <c r="E299" s="186"/>
      <c r="F299" s="177"/>
      <c r="G299" s="177"/>
      <c r="H299" s="185"/>
      <c r="I299" s="183"/>
      <c r="J299" s="177"/>
      <c r="K299" s="177"/>
      <c r="L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</row>
    <row r="300" spans="1:30" ht="12.75" customHeight="1">
      <c r="A300" s="177"/>
      <c r="B300" s="183"/>
      <c r="C300" s="177"/>
      <c r="D300" s="177"/>
      <c r="E300" s="186"/>
      <c r="F300" s="177"/>
      <c r="G300" s="177"/>
      <c r="H300" s="185"/>
      <c r="I300" s="183"/>
      <c r="J300" s="177"/>
      <c r="K300" s="177"/>
      <c r="L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</row>
    <row r="301" spans="1:30" ht="12.75" customHeight="1">
      <c r="A301" s="177"/>
      <c r="B301" s="183"/>
      <c r="C301" s="177"/>
      <c r="D301" s="177"/>
      <c r="E301" s="186"/>
      <c r="F301" s="177"/>
      <c r="G301" s="177"/>
      <c r="H301" s="185"/>
      <c r="I301" s="183"/>
      <c r="J301" s="177"/>
      <c r="K301" s="177"/>
      <c r="L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</row>
    <row r="302" spans="1:30" ht="12.75" customHeight="1">
      <c r="A302" s="177"/>
      <c r="B302" s="183"/>
      <c r="C302" s="177"/>
      <c r="D302" s="177"/>
      <c r="E302" s="186"/>
      <c r="F302" s="177"/>
      <c r="G302" s="177"/>
      <c r="H302" s="185"/>
      <c r="I302" s="183"/>
      <c r="J302" s="177"/>
      <c r="K302" s="177"/>
      <c r="L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</row>
    <row r="303" spans="1:30" ht="12.75" customHeight="1">
      <c r="A303" s="177"/>
      <c r="B303" s="183"/>
      <c r="C303" s="177"/>
      <c r="D303" s="177"/>
      <c r="E303" s="186"/>
      <c r="F303" s="177"/>
      <c r="G303" s="177"/>
      <c r="H303" s="185"/>
      <c r="I303" s="183"/>
      <c r="J303" s="177"/>
      <c r="K303" s="177"/>
      <c r="L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</row>
    <row r="304" spans="1:30" ht="12.75" customHeight="1">
      <c r="A304" s="177"/>
      <c r="B304" s="183"/>
      <c r="C304" s="177"/>
      <c r="D304" s="177"/>
      <c r="E304" s="186"/>
      <c r="F304" s="177"/>
      <c r="G304" s="177"/>
      <c r="H304" s="185"/>
      <c r="I304" s="183"/>
      <c r="J304" s="177"/>
      <c r="K304" s="177"/>
      <c r="L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</row>
    <row r="305" spans="1:30" ht="12.75" customHeight="1">
      <c r="A305" s="177"/>
      <c r="B305" s="183"/>
      <c r="C305" s="177"/>
      <c r="D305" s="177"/>
      <c r="E305" s="186"/>
      <c r="F305" s="177"/>
      <c r="G305" s="177"/>
      <c r="H305" s="185"/>
      <c r="I305" s="183"/>
      <c r="J305" s="177"/>
      <c r="K305" s="177"/>
      <c r="L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</row>
    <row r="306" spans="1:30" ht="12.75" customHeight="1">
      <c r="A306" s="177"/>
      <c r="B306" s="183"/>
      <c r="C306" s="177"/>
      <c r="D306" s="177"/>
      <c r="E306" s="186"/>
      <c r="F306" s="177"/>
      <c r="G306" s="177"/>
      <c r="H306" s="185"/>
      <c r="I306" s="183"/>
      <c r="J306" s="177"/>
      <c r="K306" s="177"/>
      <c r="L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</row>
    <row r="307" spans="1:30" ht="12.75" customHeight="1">
      <c r="A307" s="177"/>
      <c r="B307" s="183"/>
      <c r="C307" s="177"/>
      <c r="D307" s="177"/>
      <c r="E307" s="186"/>
      <c r="F307" s="177"/>
      <c r="G307" s="177"/>
      <c r="H307" s="185"/>
      <c r="I307" s="183"/>
      <c r="J307" s="177"/>
      <c r="K307" s="177"/>
      <c r="L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</row>
    <row r="308" spans="1:30" ht="12.75" customHeight="1">
      <c r="A308" s="177"/>
      <c r="B308" s="183"/>
      <c r="C308" s="177"/>
      <c r="D308" s="177"/>
      <c r="E308" s="186"/>
      <c r="F308" s="177"/>
      <c r="G308" s="177"/>
      <c r="H308" s="185"/>
      <c r="I308" s="183"/>
      <c r="J308" s="177"/>
      <c r="K308" s="177"/>
      <c r="L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</row>
    <row r="309" spans="1:30" ht="12.75" customHeight="1">
      <c r="A309" s="177"/>
      <c r="B309" s="183"/>
      <c r="C309" s="177"/>
      <c r="D309" s="177"/>
      <c r="E309" s="186"/>
      <c r="F309" s="177"/>
      <c r="G309" s="177"/>
      <c r="H309" s="185"/>
      <c r="I309" s="183"/>
      <c r="J309" s="177"/>
      <c r="K309" s="177"/>
      <c r="L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</row>
    <row r="310" spans="1:30" ht="12.75" customHeight="1">
      <c r="A310" s="177"/>
      <c r="B310" s="183"/>
      <c r="C310" s="177"/>
      <c r="D310" s="177"/>
      <c r="E310" s="186"/>
      <c r="F310" s="177"/>
      <c r="G310" s="177"/>
      <c r="H310" s="185"/>
      <c r="I310" s="183"/>
      <c r="J310" s="177"/>
      <c r="K310" s="177"/>
      <c r="L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</row>
    <row r="311" spans="1:30" ht="12.75" customHeight="1">
      <c r="A311" s="177"/>
      <c r="B311" s="183"/>
      <c r="C311" s="177"/>
      <c r="D311" s="177"/>
      <c r="E311" s="186"/>
      <c r="F311" s="177"/>
      <c r="G311" s="177"/>
      <c r="H311" s="185"/>
      <c r="I311" s="183"/>
      <c r="J311" s="177"/>
      <c r="K311" s="177"/>
      <c r="L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</row>
    <row r="312" spans="1:30" ht="12.75" customHeight="1">
      <c r="A312" s="177"/>
      <c r="B312" s="183"/>
      <c r="C312" s="177"/>
      <c r="D312" s="177"/>
      <c r="E312" s="186"/>
      <c r="F312" s="177"/>
      <c r="G312" s="177"/>
      <c r="H312" s="185"/>
      <c r="I312" s="183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</row>
    <row r="313" spans="1:30" ht="12.75" customHeight="1">
      <c r="A313" s="177"/>
      <c r="B313" s="183"/>
      <c r="C313" s="177"/>
      <c r="D313" s="177"/>
      <c r="E313" s="186"/>
      <c r="F313" s="177"/>
      <c r="G313" s="177"/>
      <c r="H313" s="185"/>
      <c r="I313" s="183"/>
      <c r="J313" s="177"/>
      <c r="K313" s="177"/>
      <c r="L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</row>
    <row r="314" spans="1:30" ht="12.75" customHeight="1">
      <c r="A314" s="177"/>
      <c r="B314" s="183"/>
      <c r="C314" s="177"/>
      <c r="D314" s="177"/>
      <c r="E314" s="186"/>
      <c r="F314" s="177"/>
      <c r="G314" s="177"/>
      <c r="H314" s="185"/>
      <c r="I314" s="183"/>
      <c r="J314" s="177"/>
      <c r="K314" s="177"/>
      <c r="L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</row>
    <row r="315" spans="1:30" ht="12.75" customHeight="1">
      <c r="A315" s="177"/>
      <c r="B315" s="183"/>
      <c r="C315" s="177"/>
      <c r="D315" s="177"/>
      <c r="E315" s="186"/>
      <c r="F315" s="177"/>
      <c r="G315" s="177"/>
      <c r="H315" s="185"/>
      <c r="I315" s="183"/>
      <c r="J315" s="177"/>
      <c r="K315" s="177"/>
      <c r="L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</row>
    <row r="316" spans="1:30" ht="12.75" customHeight="1">
      <c r="A316" s="177"/>
      <c r="B316" s="183"/>
      <c r="C316" s="177"/>
      <c r="D316" s="177"/>
      <c r="E316" s="186"/>
      <c r="F316" s="177"/>
      <c r="G316" s="177"/>
      <c r="H316" s="185"/>
      <c r="I316" s="183"/>
      <c r="J316" s="177"/>
      <c r="K316" s="177"/>
      <c r="L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</row>
    <row r="317" spans="1:30" ht="12.75" customHeight="1">
      <c r="A317" s="177"/>
      <c r="B317" s="183"/>
      <c r="C317" s="177"/>
      <c r="D317" s="177"/>
      <c r="E317" s="186"/>
      <c r="F317" s="177"/>
      <c r="G317" s="177"/>
      <c r="H317" s="185"/>
      <c r="I317" s="183"/>
      <c r="J317" s="177"/>
      <c r="K317" s="177"/>
      <c r="L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</row>
    <row r="318" spans="1:30" ht="12.75" customHeight="1">
      <c r="A318" s="177"/>
      <c r="B318" s="183"/>
      <c r="C318" s="177"/>
      <c r="D318" s="177"/>
      <c r="E318" s="186"/>
      <c r="F318" s="177"/>
      <c r="G318" s="177"/>
      <c r="H318" s="185"/>
      <c r="I318" s="183"/>
      <c r="J318" s="177"/>
      <c r="K318" s="177"/>
      <c r="L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</row>
    <row r="319" spans="1:30" ht="12.75" customHeight="1">
      <c r="A319" s="177"/>
      <c r="B319" s="183"/>
      <c r="C319" s="177"/>
      <c r="D319" s="177"/>
      <c r="E319" s="186"/>
      <c r="F319" s="177"/>
      <c r="G319" s="177"/>
      <c r="H319" s="185"/>
      <c r="I319" s="183"/>
      <c r="J319" s="177"/>
      <c r="K319" s="177"/>
      <c r="L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</row>
    <row r="320" spans="1:30" ht="12.75" customHeight="1">
      <c r="A320" s="177"/>
      <c r="B320" s="183"/>
      <c r="C320" s="177"/>
      <c r="D320" s="177"/>
      <c r="E320" s="186"/>
      <c r="F320" s="177"/>
      <c r="G320" s="177"/>
      <c r="H320" s="185"/>
      <c r="I320" s="183"/>
      <c r="J320" s="177"/>
      <c r="K320" s="177"/>
      <c r="L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</row>
    <row r="321" spans="1:30" ht="12.75" customHeight="1">
      <c r="A321" s="177"/>
      <c r="B321" s="183"/>
      <c r="C321" s="177"/>
      <c r="D321" s="177"/>
      <c r="E321" s="186"/>
      <c r="F321" s="177"/>
      <c r="G321" s="177"/>
      <c r="H321" s="185"/>
      <c r="I321" s="183"/>
      <c r="J321" s="177"/>
      <c r="K321" s="177"/>
      <c r="L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</row>
    <row r="322" spans="1:30" ht="12.75" customHeight="1">
      <c r="A322" s="177"/>
      <c r="B322" s="183"/>
      <c r="C322" s="177"/>
      <c r="D322" s="177"/>
      <c r="E322" s="186"/>
      <c r="F322" s="177"/>
      <c r="G322" s="177"/>
      <c r="H322" s="185"/>
      <c r="I322" s="183"/>
      <c r="J322" s="177"/>
      <c r="K322" s="177"/>
      <c r="L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</row>
    <row r="323" spans="1:30" ht="12.75" customHeight="1">
      <c r="A323" s="177"/>
      <c r="B323" s="183"/>
      <c r="C323" s="177"/>
      <c r="D323" s="177"/>
      <c r="E323" s="186"/>
      <c r="F323" s="177"/>
      <c r="G323" s="177"/>
      <c r="H323" s="185"/>
      <c r="I323" s="183"/>
      <c r="J323" s="177"/>
      <c r="K323" s="177"/>
      <c r="L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</row>
    <row r="324" spans="1:30" ht="12.75" customHeight="1">
      <c r="A324" s="177"/>
      <c r="B324" s="183"/>
      <c r="C324" s="177"/>
      <c r="D324" s="177"/>
      <c r="E324" s="186"/>
      <c r="F324" s="177"/>
      <c r="G324" s="177"/>
      <c r="H324" s="185"/>
      <c r="I324" s="183"/>
      <c r="J324" s="177"/>
      <c r="K324" s="177"/>
      <c r="L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</row>
    <row r="325" spans="1:30" ht="12.75" customHeight="1">
      <c r="A325" s="177"/>
      <c r="B325" s="183"/>
      <c r="C325" s="177"/>
      <c r="D325" s="177"/>
      <c r="E325" s="186"/>
      <c r="F325" s="177"/>
      <c r="G325" s="177"/>
      <c r="H325" s="185"/>
      <c r="I325" s="183"/>
      <c r="J325" s="177"/>
      <c r="K325" s="177"/>
      <c r="L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</row>
    <row r="326" spans="1:30" ht="12.75" customHeight="1">
      <c r="A326" s="177"/>
      <c r="B326" s="183"/>
      <c r="C326" s="177"/>
      <c r="D326" s="177"/>
      <c r="E326" s="186"/>
      <c r="F326" s="177"/>
      <c r="G326" s="177"/>
      <c r="H326" s="185"/>
      <c r="I326" s="183"/>
      <c r="J326" s="177"/>
      <c r="K326" s="177"/>
      <c r="L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</row>
    <row r="327" spans="1:30" ht="12.75" customHeight="1">
      <c r="A327" s="177"/>
      <c r="B327" s="183"/>
      <c r="C327" s="177"/>
      <c r="D327" s="177"/>
      <c r="E327" s="186"/>
      <c r="F327" s="177"/>
      <c r="G327" s="177"/>
      <c r="H327" s="185"/>
      <c r="I327" s="183"/>
      <c r="J327" s="177"/>
      <c r="K327" s="177"/>
      <c r="L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</row>
    <row r="328" spans="1:30" ht="12.75" customHeight="1">
      <c r="A328" s="177"/>
      <c r="B328" s="183"/>
      <c r="C328" s="177"/>
      <c r="D328" s="177"/>
      <c r="E328" s="186"/>
      <c r="F328" s="177"/>
      <c r="G328" s="177"/>
      <c r="H328" s="185"/>
      <c r="I328" s="183"/>
      <c r="J328" s="177"/>
      <c r="K328" s="177"/>
      <c r="L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</row>
    <row r="329" spans="1:30" ht="12.75" customHeight="1">
      <c r="A329" s="177"/>
      <c r="B329" s="183"/>
      <c r="C329" s="177"/>
      <c r="D329" s="177"/>
      <c r="E329" s="186"/>
      <c r="F329" s="177"/>
      <c r="G329" s="177"/>
      <c r="H329" s="185"/>
      <c r="I329" s="183"/>
      <c r="J329" s="177"/>
      <c r="K329" s="177"/>
      <c r="L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</row>
    <row r="330" spans="1:30" ht="12.75" customHeight="1">
      <c r="A330" s="177"/>
      <c r="B330" s="183"/>
      <c r="C330" s="177"/>
      <c r="D330" s="177"/>
      <c r="E330" s="186"/>
      <c r="F330" s="177"/>
      <c r="G330" s="177"/>
      <c r="H330" s="185"/>
      <c r="I330" s="183"/>
      <c r="J330" s="177"/>
      <c r="K330" s="177"/>
      <c r="L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</row>
    <row r="331" spans="1:30" ht="12.75" customHeight="1">
      <c r="A331" s="177"/>
      <c r="B331" s="183"/>
      <c r="C331" s="177"/>
      <c r="D331" s="177"/>
      <c r="E331" s="186"/>
      <c r="F331" s="177"/>
      <c r="G331" s="177"/>
      <c r="H331" s="185"/>
      <c r="I331" s="183"/>
      <c r="J331" s="177"/>
      <c r="K331" s="177"/>
      <c r="L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</row>
    <row r="332" spans="1:30" ht="12.75" customHeight="1">
      <c r="A332" s="177"/>
      <c r="B332" s="183"/>
      <c r="C332" s="177"/>
      <c r="D332" s="177"/>
      <c r="E332" s="186"/>
      <c r="F332" s="177"/>
      <c r="G332" s="177"/>
      <c r="H332" s="185"/>
      <c r="I332" s="183"/>
      <c r="J332" s="177"/>
      <c r="K332" s="177"/>
      <c r="L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</row>
    <row r="333" spans="1:30" ht="12.75" customHeight="1">
      <c r="A333" s="177"/>
      <c r="B333" s="183"/>
      <c r="C333" s="177"/>
      <c r="D333" s="177"/>
      <c r="E333" s="186"/>
      <c r="F333" s="177"/>
      <c r="G333" s="177"/>
      <c r="H333" s="185"/>
      <c r="I333" s="183"/>
      <c r="J333" s="177"/>
      <c r="K333" s="177"/>
      <c r="L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</row>
    <row r="334" spans="1:30" ht="12.75" customHeight="1">
      <c r="A334" s="177"/>
      <c r="B334" s="183"/>
      <c r="C334" s="177"/>
      <c r="D334" s="177"/>
      <c r="E334" s="186"/>
      <c r="F334" s="177"/>
      <c r="G334" s="177"/>
      <c r="H334" s="185"/>
      <c r="I334" s="183"/>
      <c r="J334" s="177"/>
      <c r="K334" s="177"/>
      <c r="L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</row>
    <row r="335" spans="1:30" ht="12.75" customHeight="1">
      <c r="A335" s="177"/>
      <c r="B335" s="183"/>
      <c r="C335" s="177"/>
      <c r="D335" s="177"/>
      <c r="E335" s="186"/>
      <c r="F335" s="177"/>
      <c r="G335" s="177"/>
      <c r="H335" s="185"/>
      <c r="I335" s="183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</row>
    <row r="336" spans="1:30" ht="12.75" customHeight="1">
      <c r="A336" s="177"/>
      <c r="B336" s="183"/>
      <c r="C336" s="177"/>
      <c r="D336" s="177"/>
      <c r="E336" s="186"/>
      <c r="F336" s="177"/>
      <c r="G336" s="177"/>
      <c r="H336" s="185"/>
      <c r="I336" s="183"/>
      <c r="J336" s="177"/>
      <c r="K336" s="177"/>
      <c r="L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</row>
    <row r="337" spans="1:30" ht="12.75" customHeight="1">
      <c r="A337" s="177"/>
      <c r="B337" s="183"/>
      <c r="C337" s="177"/>
      <c r="D337" s="177"/>
      <c r="E337" s="186"/>
      <c r="F337" s="177"/>
      <c r="G337" s="177"/>
      <c r="H337" s="185"/>
      <c r="I337" s="183"/>
      <c r="J337" s="177"/>
      <c r="K337" s="177"/>
      <c r="L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</row>
    <row r="338" spans="1:30" ht="12.75" customHeight="1">
      <c r="A338" s="177"/>
      <c r="B338" s="183"/>
      <c r="C338" s="177"/>
      <c r="D338" s="177"/>
      <c r="E338" s="186"/>
      <c r="F338" s="177"/>
      <c r="G338" s="177"/>
      <c r="H338" s="185"/>
      <c r="I338" s="183"/>
      <c r="J338" s="177"/>
      <c r="K338" s="177"/>
      <c r="L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</row>
    <row r="339" spans="1:30" ht="12.75" customHeight="1">
      <c r="A339" s="177"/>
      <c r="B339" s="183"/>
      <c r="C339" s="177"/>
      <c r="D339" s="177"/>
      <c r="E339" s="186"/>
      <c r="F339" s="177"/>
      <c r="G339" s="177"/>
      <c r="H339" s="185"/>
      <c r="I339" s="183"/>
      <c r="J339" s="177"/>
      <c r="K339" s="177"/>
      <c r="L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</row>
    <row r="340" spans="1:30" ht="12.75" customHeight="1">
      <c r="A340" s="177"/>
      <c r="B340" s="183"/>
      <c r="C340" s="177"/>
      <c r="D340" s="177"/>
      <c r="E340" s="186"/>
      <c r="F340" s="177"/>
      <c r="G340" s="177"/>
      <c r="H340" s="185"/>
      <c r="I340" s="183"/>
      <c r="J340" s="177"/>
      <c r="K340" s="177"/>
      <c r="L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</row>
    <row r="341" spans="1:30" ht="12.75" customHeight="1">
      <c r="A341" s="177"/>
      <c r="B341" s="183"/>
      <c r="C341" s="177"/>
      <c r="D341" s="177"/>
      <c r="E341" s="186"/>
      <c r="F341" s="177"/>
      <c r="G341" s="177"/>
      <c r="H341" s="185"/>
      <c r="I341" s="183"/>
      <c r="J341" s="177"/>
      <c r="K341" s="177"/>
      <c r="L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</row>
    <row r="342" spans="1:30" ht="12.75" customHeight="1">
      <c r="A342" s="177"/>
      <c r="B342" s="183"/>
      <c r="C342" s="177"/>
      <c r="D342" s="177"/>
      <c r="E342" s="186"/>
      <c r="F342" s="177"/>
      <c r="G342" s="177"/>
      <c r="H342" s="185"/>
      <c r="I342" s="183"/>
      <c r="J342" s="177"/>
      <c r="K342" s="177"/>
      <c r="L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</row>
    <row r="343" spans="1:30" ht="12.75" customHeight="1">
      <c r="A343" s="177"/>
      <c r="B343" s="183"/>
      <c r="C343" s="177"/>
      <c r="D343" s="177"/>
      <c r="E343" s="186"/>
      <c r="F343" s="177"/>
      <c r="G343" s="177"/>
      <c r="H343" s="185"/>
      <c r="I343" s="183"/>
      <c r="J343" s="177"/>
      <c r="K343" s="177"/>
      <c r="L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</row>
    <row r="344" spans="1:30" ht="12.75" customHeight="1">
      <c r="A344" s="177"/>
      <c r="B344" s="183"/>
      <c r="C344" s="177"/>
      <c r="D344" s="177"/>
      <c r="E344" s="186"/>
      <c r="F344" s="177"/>
      <c r="G344" s="177"/>
      <c r="H344" s="185"/>
      <c r="I344" s="183"/>
      <c r="J344" s="177"/>
      <c r="K344" s="177"/>
      <c r="L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</row>
    <row r="345" spans="1:30" ht="12.75" customHeight="1">
      <c r="A345" s="177"/>
      <c r="B345" s="183"/>
      <c r="C345" s="177"/>
      <c r="D345" s="177"/>
      <c r="E345" s="186"/>
      <c r="F345" s="177"/>
      <c r="G345" s="177"/>
      <c r="H345" s="185"/>
      <c r="I345" s="183"/>
      <c r="J345" s="177"/>
      <c r="K345" s="177"/>
      <c r="L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</row>
    <row r="346" spans="1:30" ht="12.75" customHeight="1">
      <c r="A346" s="177"/>
      <c r="B346" s="183"/>
      <c r="C346" s="177"/>
      <c r="D346" s="177"/>
      <c r="E346" s="186"/>
      <c r="F346" s="177"/>
      <c r="G346" s="177"/>
      <c r="H346" s="185"/>
      <c r="I346" s="183"/>
      <c r="J346" s="177"/>
      <c r="K346" s="177"/>
      <c r="L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</row>
    <row r="347" spans="1:30" ht="12.75" customHeight="1">
      <c r="A347" s="177"/>
      <c r="B347" s="183"/>
      <c r="C347" s="177"/>
      <c r="D347" s="177"/>
      <c r="E347" s="186"/>
      <c r="F347" s="177"/>
      <c r="G347" s="177"/>
      <c r="H347" s="185"/>
      <c r="I347" s="183"/>
      <c r="J347" s="177"/>
      <c r="K347" s="177"/>
      <c r="L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</row>
    <row r="348" spans="1:30" ht="12.75" customHeight="1">
      <c r="A348" s="177"/>
      <c r="B348" s="183"/>
      <c r="C348" s="177"/>
      <c r="D348" s="177"/>
      <c r="E348" s="186"/>
      <c r="F348" s="177"/>
      <c r="G348" s="177"/>
      <c r="H348" s="185"/>
      <c r="I348" s="183"/>
      <c r="J348" s="177"/>
      <c r="K348" s="177"/>
      <c r="L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</row>
    <row r="349" spans="1:30" ht="12.75" customHeight="1">
      <c r="A349" s="177"/>
      <c r="B349" s="183"/>
      <c r="C349" s="177"/>
      <c r="D349" s="177"/>
      <c r="E349" s="186"/>
      <c r="F349" s="177"/>
      <c r="G349" s="177"/>
      <c r="H349" s="185"/>
      <c r="I349" s="183"/>
      <c r="J349" s="177"/>
      <c r="K349" s="177"/>
      <c r="L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</row>
    <row r="350" spans="1:30" ht="12.75" customHeight="1">
      <c r="A350" s="177"/>
      <c r="B350" s="183"/>
      <c r="C350" s="177"/>
      <c r="D350" s="177"/>
      <c r="E350" s="186"/>
      <c r="F350" s="177"/>
      <c r="G350" s="177"/>
      <c r="H350" s="185"/>
      <c r="I350" s="183"/>
      <c r="J350" s="177"/>
      <c r="K350" s="177"/>
      <c r="L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</row>
    <row r="351" spans="1:30" ht="12.75" customHeight="1">
      <c r="A351" s="177"/>
      <c r="B351" s="183"/>
      <c r="C351" s="177"/>
      <c r="D351" s="177"/>
      <c r="E351" s="186"/>
      <c r="F351" s="177"/>
      <c r="G351" s="177"/>
      <c r="H351" s="185"/>
      <c r="I351" s="183"/>
      <c r="J351" s="177"/>
      <c r="K351" s="177"/>
      <c r="L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</row>
    <row r="352" spans="1:30" ht="12.75" customHeight="1">
      <c r="A352" s="177"/>
      <c r="B352" s="183"/>
      <c r="C352" s="177"/>
      <c r="D352" s="177"/>
      <c r="E352" s="186"/>
      <c r="F352" s="177"/>
      <c r="G352" s="177"/>
      <c r="H352" s="185"/>
      <c r="I352" s="183"/>
      <c r="J352" s="177"/>
      <c r="K352" s="177"/>
      <c r="L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</row>
    <row r="353" spans="1:30" ht="12.75" customHeight="1">
      <c r="A353" s="177"/>
      <c r="B353" s="183"/>
      <c r="C353" s="177"/>
      <c r="D353" s="177"/>
      <c r="E353" s="186"/>
      <c r="F353" s="177"/>
      <c r="G353" s="177"/>
      <c r="H353" s="185"/>
      <c r="I353" s="183"/>
      <c r="J353" s="177"/>
      <c r="K353" s="177"/>
      <c r="L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</row>
    <row r="354" spans="1:30" ht="12.75" customHeight="1">
      <c r="A354" s="177"/>
      <c r="B354" s="183"/>
      <c r="C354" s="177"/>
      <c r="D354" s="177"/>
      <c r="E354" s="186"/>
      <c r="F354" s="177"/>
      <c r="G354" s="177"/>
      <c r="H354" s="185"/>
      <c r="I354" s="183"/>
      <c r="J354" s="177"/>
      <c r="K354" s="177"/>
      <c r="L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</row>
    <row r="355" spans="1:30" ht="12.75" customHeight="1">
      <c r="A355" s="177"/>
      <c r="B355" s="183"/>
      <c r="C355" s="177"/>
      <c r="D355" s="177"/>
      <c r="E355" s="186"/>
      <c r="F355" s="177"/>
      <c r="G355" s="177"/>
      <c r="H355" s="185"/>
      <c r="I355" s="183"/>
      <c r="J355" s="177"/>
      <c r="K355" s="177"/>
      <c r="L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</row>
    <row r="356" spans="1:30" ht="12.75" customHeight="1">
      <c r="A356" s="177"/>
      <c r="B356" s="183"/>
      <c r="C356" s="177"/>
      <c r="D356" s="177"/>
      <c r="E356" s="186"/>
      <c r="F356" s="177"/>
      <c r="G356" s="177"/>
      <c r="H356" s="185"/>
      <c r="I356" s="183"/>
      <c r="J356" s="177"/>
      <c r="K356" s="177"/>
      <c r="L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</row>
    <row r="357" spans="1:30" ht="12.75" customHeight="1">
      <c r="A357" s="177"/>
      <c r="B357" s="183"/>
      <c r="C357" s="177"/>
      <c r="D357" s="177"/>
      <c r="E357" s="186"/>
      <c r="F357" s="177"/>
      <c r="G357" s="177"/>
      <c r="H357" s="185"/>
      <c r="I357" s="183"/>
      <c r="J357" s="177"/>
      <c r="K357" s="177"/>
      <c r="L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</row>
    <row r="358" spans="1:30" ht="12.75" customHeight="1">
      <c r="A358" s="177"/>
      <c r="B358" s="183"/>
      <c r="C358" s="177"/>
      <c r="D358" s="177"/>
      <c r="E358" s="186"/>
      <c r="F358" s="177"/>
      <c r="G358" s="177"/>
      <c r="H358" s="185"/>
      <c r="I358" s="183"/>
      <c r="J358" s="177"/>
      <c r="K358" s="177"/>
      <c r="L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</row>
    <row r="359" spans="1:30" ht="12.75" customHeight="1">
      <c r="A359" s="177"/>
      <c r="B359" s="183"/>
      <c r="C359" s="177"/>
      <c r="D359" s="177"/>
      <c r="E359" s="186"/>
      <c r="F359" s="177"/>
      <c r="G359" s="177"/>
      <c r="H359" s="185"/>
      <c r="I359" s="183"/>
      <c r="J359" s="177"/>
      <c r="K359" s="177"/>
      <c r="L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</row>
    <row r="360" spans="1:30" ht="12.75" customHeight="1">
      <c r="A360" s="177"/>
      <c r="B360" s="183"/>
      <c r="C360" s="177"/>
      <c r="D360" s="177"/>
      <c r="E360" s="186"/>
      <c r="F360" s="177"/>
      <c r="G360" s="177"/>
      <c r="H360" s="185"/>
      <c r="I360" s="183"/>
      <c r="J360" s="177"/>
      <c r="K360" s="177"/>
      <c r="L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</row>
    <row r="361" spans="1:30" ht="12.75" customHeight="1">
      <c r="A361" s="177"/>
      <c r="B361" s="183"/>
      <c r="C361" s="177"/>
      <c r="D361" s="177"/>
      <c r="E361" s="186"/>
      <c r="F361" s="177"/>
      <c r="G361" s="177"/>
      <c r="H361" s="185"/>
      <c r="I361" s="183"/>
      <c r="J361" s="177"/>
      <c r="K361" s="177"/>
      <c r="L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</row>
    <row r="362" spans="1:30" ht="12.75" customHeight="1">
      <c r="A362" s="177"/>
      <c r="B362" s="183"/>
      <c r="C362" s="177"/>
      <c r="D362" s="177"/>
      <c r="E362" s="186"/>
      <c r="F362" s="177"/>
      <c r="G362" s="177"/>
      <c r="H362" s="185"/>
      <c r="I362" s="183"/>
      <c r="J362" s="177"/>
      <c r="K362" s="177"/>
      <c r="L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</row>
    <row r="363" spans="1:30" ht="12.75" customHeight="1">
      <c r="A363" s="177"/>
      <c r="B363" s="183"/>
      <c r="C363" s="177"/>
      <c r="D363" s="177"/>
      <c r="E363" s="186"/>
      <c r="F363" s="177"/>
      <c r="G363" s="177"/>
      <c r="H363" s="185"/>
      <c r="I363" s="183"/>
      <c r="J363" s="177"/>
      <c r="K363" s="177"/>
      <c r="L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</row>
    <row r="364" spans="1:30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J364" s="177"/>
      <c r="K364" s="177"/>
      <c r="L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</row>
    <row r="365" spans="1:30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J365" s="177"/>
      <c r="K365" s="177"/>
      <c r="L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</row>
    <row r="366" spans="1:30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J366" s="177"/>
      <c r="K366" s="177"/>
      <c r="L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</row>
    <row r="367" spans="1:30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J367" s="177"/>
      <c r="K367" s="177"/>
      <c r="L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</row>
    <row r="368" spans="1:30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J368" s="177"/>
      <c r="K368" s="177"/>
      <c r="L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</row>
    <row r="369" spans="1:30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J369" s="177"/>
      <c r="K369" s="177"/>
      <c r="L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</row>
    <row r="370" spans="1:30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J370" s="177"/>
      <c r="K370" s="177"/>
      <c r="L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</row>
    <row r="371" spans="1:30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J371" s="177"/>
      <c r="K371" s="177"/>
      <c r="L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</row>
    <row r="372" spans="1:30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J372" s="177"/>
      <c r="K372" s="177"/>
      <c r="L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</row>
    <row r="373" spans="1:30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J373" s="177"/>
      <c r="K373" s="177"/>
      <c r="L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</row>
    <row r="374" spans="1:30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J374" s="177"/>
      <c r="K374" s="177"/>
      <c r="L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</row>
    <row r="375" spans="1:30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J375" s="177"/>
      <c r="K375" s="177"/>
      <c r="L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</row>
    <row r="376" spans="1:30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J376" s="177"/>
      <c r="K376" s="177"/>
      <c r="L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</row>
    <row r="377" spans="1:30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J377" s="177"/>
      <c r="K377" s="177"/>
      <c r="L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</row>
    <row r="378" spans="1:30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J378" s="177"/>
      <c r="K378" s="177"/>
      <c r="L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</row>
    <row r="379" spans="1:30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J379" s="177"/>
      <c r="K379" s="177"/>
      <c r="L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</row>
    <row r="380" spans="1:30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J380" s="177"/>
      <c r="K380" s="177"/>
      <c r="L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</row>
    <row r="381" spans="1:30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J381" s="177"/>
      <c r="K381" s="177"/>
      <c r="L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</row>
    <row r="382" spans="1:30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J382" s="177"/>
      <c r="K382" s="177"/>
      <c r="L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</row>
    <row r="383" spans="1:30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J383" s="177"/>
      <c r="K383" s="177"/>
      <c r="L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</row>
    <row r="384" spans="1:30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J384" s="177"/>
      <c r="K384" s="177"/>
      <c r="L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</row>
    <row r="385" spans="1:30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J385" s="177"/>
      <c r="K385" s="177"/>
      <c r="L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</row>
    <row r="386" spans="1:30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J386" s="177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</row>
    <row r="387" spans="1:30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</row>
    <row r="388" spans="1:30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</row>
    <row r="389" spans="1:30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</row>
    <row r="390" spans="1:30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J390" s="177"/>
      <c r="K390" s="177"/>
      <c r="L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</row>
    <row r="391" spans="1:30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J391" s="177"/>
      <c r="K391" s="177"/>
      <c r="L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</row>
    <row r="392" spans="1:30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J392" s="177"/>
      <c r="K392" s="177"/>
      <c r="L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</row>
    <row r="393" spans="1:30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J393" s="177"/>
      <c r="K393" s="177"/>
      <c r="L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</row>
    <row r="394" spans="1:30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J394" s="177"/>
      <c r="K394" s="177"/>
      <c r="L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</row>
    <row r="395" spans="1:30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J395" s="177"/>
      <c r="K395" s="177"/>
      <c r="L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</row>
    <row r="396" spans="1:30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J396" s="177"/>
      <c r="K396" s="177"/>
      <c r="L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</row>
    <row r="397" spans="1:30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J397" s="177"/>
      <c r="K397" s="177"/>
      <c r="L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</row>
    <row r="398" spans="1:30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J398" s="177"/>
      <c r="K398" s="177"/>
      <c r="L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</row>
    <row r="399" spans="1:30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J399" s="177"/>
      <c r="K399" s="177"/>
      <c r="L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</row>
    <row r="400" spans="1:30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J400" s="177"/>
      <c r="K400" s="177"/>
      <c r="L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</row>
    <row r="401" spans="1:30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J401" s="177"/>
      <c r="K401" s="177"/>
      <c r="L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</row>
    <row r="402" spans="1:30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J402" s="177"/>
      <c r="K402" s="177"/>
      <c r="L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</row>
    <row r="403" spans="1:30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J403" s="177"/>
      <c r="K403" s="177"/>
      <c r="L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</row>
    <row r="404" spans="1:30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J404" s="177"/>
      <c r="K404" s="177"/>
      <c r="L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</row>
    <row r="405" spans="1:30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J405" s="177"/>
      <c r="K405" s="177"/>
      <c r="L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</row>
    <row r="406" spans="1:30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J406" s="177"/>
      <c r="K406" s="177"/>
      <c r="L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</row>
    <row r="407" spans="1:30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J407" s="177"/>
      <c r="K407" s="177"/>
      <c r="L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</row>
    <row r="408" spans="1:30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J408" s="177"/>
      <c r="K408" s="177"/>
      <c r="L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</row>
    <row r="409" spans="1:30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J409" s="177"/>
      <c r="K409" s="177"/>
      <c r="L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</row>
    <row r="410" spans="1:30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J410" s="177"/>
      <c r="K410" s="177"/>
      <c r="L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</row>
    <row r="411" spans="1:30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J411" s="177"/>
      <c r="K411" s="177"/>
      <c r="L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</row>
    <row r="412" spans="1:30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J412" s="177"/>
      <c r="K412" s="177"/>
      <c r="L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</row>
    <row r="413" spans="1:30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J413" s="177"/>
      <c r="K413" s="177"/>
      <c r="L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</row>
    <row r="414" spans="1:30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J414" s="177"/>
      <c r="K414" s="177"/>
      <c r="L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</row>
    <row r="415" spans="1:30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J415" s="177"/>
      <c r="K415" s="177"/>
      <c r="L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</row>
    <row r="416" spans="1:30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J416" s="177"/>
      <c r="K416" s="177"/>
      <c r="L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</row>
    <row r="417" spans="1:30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J417" s="177"/>
      <c r="K417" s="177"/>
      <c r="L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</row>
    <row r="418" spans="1:30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J418" s="177"/>
      <c r="K418" s="177"/>
      <c r="L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</row>
    <row r="419" spans="1:30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J419" s="177"/>
      <c r="K419" s="177"/>
      <c r="L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</row>
    <row r="420" spans="1:30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J420" s="177"/>
      <c r="K420" s="177"/>
      <c r="L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</row>
    <row r="421" spans="1:30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J421" s="177"/>
      <c r="K421" s="177"/>
      <c r="L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</row>
    <row r="422" spans="1:30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J422" s="177"/>
      <c r="K422" s="177"/>
      <c r="L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</row>
    <row r="423" spans="1:30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J423" s="177"/>
      <c r="K423" s="177"/>
      <c r="L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</row>
    <row r="424" spans="1:30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J424" s="177"/>
      <c r="K424" s="177"/>
      <c r="L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</row>
    <row r="425" spans="1:30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J425" s="177"/>
      <c r="K425" s="177"/>
      <c r="L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</row>
    <row r="426" spans="1:30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J426" s="177"/>
      <c r="K426" s="177"/>
      <c r="L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</row>
    <row r="427" spans="1:30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J427" s="177"/>
      <c r="K427" s="177"/>
      <c r="L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</row>
    <row r="428" spans="1:30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J428" s="177"/>
      <c r="K428" s="177"/>
      <c r="L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</row>
    <row r="429" spans="1:30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J429" s="177"/>
      <c r="K429" s="177"/>
      <c r="L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</row>
    <row r="430" spans="1:30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J430" s="177"/>
      <c r="K430" s="177"/>
      <c r="L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</row>
    <row r="431" spans="1:30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J431" s="177"/>
      <c r="K431" s="177"/>
      <c r="L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</row>
    <row r="432" spans="1:30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J432" s="177"/>
      <c r="K432" s="177"/>
      <c r="L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</row>
    <row r="433" spans="1:30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J433" s="177"/>
      <c r="K433" s="177"/>
      <c r="L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</row>
    <row r="434" spans="1:30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J434" s="177"/>
      <c r="K434" s="177"/>
      <c r="L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</row>
    <row r="435" spans="1:30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J435" s="177"/>
      <c r="K435" s="177"/>
      <c r="L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</row>
    <row r="436" spans="1:30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J436" s="177"/>
      <c r="K436" s="177"/>
      <c r="L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</row>
    <row r="437" spans="1:30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J437" s="177"/>
      <c r="K437" s="177"/>
      <c r="L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</row>
    <row r="438" spans="1:30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J438" s="177"/>
      <c r="K438" s="177"/>
      <c r="L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</row>
    <row r="439" spans="1:30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J439" s="177"/>
      <c r="K439" s="177"/>
      <c r="L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</row>
    <row r="440" spans="1:30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J440" s="177"/>
      <c r="K440" s="177"/>
      <c r="L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</row>
    <row r="441" spans="1:30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J441" s="177"/>
      <c r="K441" s="177"/>
      <c r="L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</row>
    <row r="442" spans="1:30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J442" s="177"/>
      <c r="K442" s="177"/>
      <c r="L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</row>
    <row r="443" spans="1:30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J443" s="177"/>
      <c r="K443" s="177"/>
      <c r="L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</row>
    <row r="444" spans="1:30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J444" s="177"/>
      <c r="K444" s="177"/>
      <c r="L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</row>
    <row r="445" spans="1:30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J445" s="177"/>
      <c r="K445" s="177"/>
      <c r="L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</row>
    <row r="446" spans="1:30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J446" s="177"/>
      <c r="K446" s="177"/>
      <c r="L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</row>
    <row r="447" spans="1:30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J447" s="177"/>
      <c r="K447" s="177"/>
      <c r="L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</row>
    <row r="448" spans="1:30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J448" s="177"/>
      <c r="K448" s="177"/>
      <c r="L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</row>
    <row r="449" spans="1:30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J449" s="177"/>
      <c r="K449" s="177"/>
      <c r="L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</row>
    <row r="450" spans="1:30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J450" s="177"/>
      <c r="K450" s="177"/>
      <c r="L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</row>
    <row r="451" spans="1:30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J451" s="177"/>
      <c r="K451" s="177"/>
      <c r="L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</row>
    <row r="452" spans="1:30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J452" s="177"/>
      <c r="K452" s="177"/>
      <c r="L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</row>
    <row r="453" spans="1:30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J453" s="177"/>
      <c r="K453" s="177"/>
      <c r="L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</row>
    <row r="454" spans="1:30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J454" s="177"/>
      <c r="K454" s="177"/>
      <c r="L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</row>
    <row r="455" spans="1:30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J455" s="177"/>
      <c r="K455" s="177"/>
      <c r="L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</row>
    <row r="456" spans="1:30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J456" s="177"/>
      <c r="K456" s="177"/>
      <c r="L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</row>
    <row r="457" spans="1:30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J457" s="177"/>
      <c r="K457" s="177"/>
      <c r="L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</row>
    <row r="458" spans="1:30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J458" s="177"/>
      <c r="K458" s="177"/>
      <c r="L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</row>
    <row r="459" spans="1:30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J459" s="177"/>
      <c r="K459" s="177"/>
      <c r="L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</row>
    <row r="460" spans="1:30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J460" s="177"/>
      <c r="K460" s="177"/>
      <c r="L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</row>
    <row r="461" spans="1:30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J461" s="177"/>
      <c r="K461" s="177"/>
      <c r="L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</row>
    <row r="462" spans="1:30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J462" s="177"/>
      <c r="K462" s="177"/>
      <c r="L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</row>
    <row r="463" spans="1:30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</row>
    <row r="464" spans="1:30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</row>
    <row r="465" spans="1:30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</row>
    <row r="466" spans="1:30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</row>
    <row r="467" spans="1:30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</row>
    <row r="468" spans="1:30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</row>
    <row r="469" spans="1:30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J469" s="177"/>
      <c r="K469" s="177"/>
      <c r="L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</row>
    <row r="470" spans="1:30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J470" s="177"/>
      <c r="K470" s="177"/>
      <c r="L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</row>
    <row r="471" spans="1:30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J471" s="177"/>
      <c r="K471" s="177"/>
      <c r="L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</row>
    <row r="472" spans="1:30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J472" s="177"/>
      <c r="K472" s="177"/>
      <c r="L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</row>
    <row r="473" spans="1:30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J473" s="177"/>
      <c r="K473" s="177"/>
      <c r="L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</row>
    <row r="474" spans="1:30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J474" s="177"/>
      <c r="K474" s="177"/>
      <c r="L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</row>
    <row r="475" spans="1:30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J475" s="177"/>
      <c r="K475" s="177"/>
      <c r="L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</row>
    <row r="476" spans="1:30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J476" s="177"/>
      <c r="K476" s="177"/>
      <c r="L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</row>
    <row r="477" spans="1:30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J477" s="177"/>
      <c r="K477" s="177"/>
      <c r="L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</row>
    <row r="478" spans="1:30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J478" s="177"/>
      <c r="K478" s="177"/>
      <c r="L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</row>
    <row r="479" spans="1:30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J479" s="177"/>
      <c r="K479" s="177"/>
      <c r="L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</row>
    <row r="480" spans="1:30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J480" s="177"/>
      <c r="K480" s="177"/>
      <c r="L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</row>
    <row r="481" spans="1:30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J481" s="177"/>
      <c r="K481" s="177"/>
      <c r="L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</row>
    <row r="482" spans="1:30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J482" s="177"/>
      <c r="K482" s="177"/>
      <c r="L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</row>
    <row r="483" spans="1:30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J483" s="177"/>
      <c r="K483" s="177"/>
      <c r="L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</row>
    <row r="484" spans="1:30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J484" s="177"/>
      <c r="K484" s="177"/>
      <c r="L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</row>
    <row r="485" spans="1:30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J485" s="177"/>
      <c r="K485" s="177"/>
      <c r="L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</row>
    <row r="486" spans="1:30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J486" s="177"/>
      <c r="K486" s="177"/>
      <c r="L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</row>
    <row r="487" spans="1:30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J487" s="177"/>
      <c r="K487" s="177"/>
      <c r="L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</row>
    <row r="488" spans="1:30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J488" s="177"/>
      <c r="K488" s="177"/>
      <c r="L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</row>
    <row r="489" spans="1:30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J489" s="177"/>
      <c r="K489" s="177"/>
      <c r="L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</row>
    <row r="490" spans="1:30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J490" s="177"/>
      <c r="K490" s="177"/>
      <c r="L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</row>
    <row r="491" spans="1:30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J491" s="177"/>
      <c r="K491" s="177"/>
      <c r="L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</row>
    <row r="492" spans="1:30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J492" s="177"/>
      <c r="K492" s="177"/>
      <c r="L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</row>
    <row r="493" spans="1:30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J493" s="177"/>
      <c r="K493" s="177"/>
      <c r="L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</row>
    <row r="494" spans="1:30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J494" s="177"/>
      <c r="K494" s="177"/>
      <c r="L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</row>
    <row r="495" spans="1:30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J495" s="177"/>
      <c r="K495" s="177"/>
      <c r="L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</row>
    <row r="496" spans="1:30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J496" s="177"/>
      <c r="K496" s="177"/>
      <c r="L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</row>
    <row r="497" spans="1:30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J497" s="177"/>
      <c r="K497" s="177"/>
      <c r="L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</row>
    <row r="498" spans="1:30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J498" s="177"/>
      <c r="K498" s="177"/>
      <c r="L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</row>
    <row r="499" spans="1:30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J499" s="177"/>
      <c r="K499" s="177"/>
      <c r="L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</row>
    <row r="500" spans="1:30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J500" s="177"/>
      <c r="K500" s="177"/>
      <c r="L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</row>
    <row r="501" spans="1:30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J501" s="177"/>
      <c r="K501" s="177"/>
      <c r="L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</row>
    <row r="502" spans="1:30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J502" s="177"/>
      <c r="K502" s="177"/>
      <c r="L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</row>
    <row r="503" spans="1:30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J503" s="177"/>
      <c r="K503" s="177"/>
      <c r="L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</row>
    <row r="504" spans="1:30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J504" s="177"/>
      <c r="K504" s="177"/>
      <c r="L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</row>
    <row r="505" spans="1:30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J505" s="177"/>
      <c r="K505" s="177"/>
      <c r="L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</row>
    <row r="506" spans="1:30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J506" s="177"/>
      <c r="K506" s="177"/>
      <c r="L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</row>
    <row r="507" spans="1:30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J507" s="177"/>
      <c r="K507" s="177"/>
      <c r="L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</row>
    <row r="508" spans="1:30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J508" s="177"/>
      <c r="K508" s="177"/>
      <c r="L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</row>
    <row r="509" spans="1:30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J509" s="177"/>
      <c r="K509" s="177"/>
      <c r="L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</row>
    <row r="510" spans="1:30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J510" s="177"/>
      <c r="K510" s="177"/>
      <c r="L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</row>
    <row r="511" spans="1:30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J511" s="177"/>
      <c r="K511" s="177"/>
      <c r="L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</row>
    <row r="512" spans="1:30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J512" s="177"/>
      <c r="K512" s="177"/>
      <c r="L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</row>
    <row r="513" spans="1:30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J513" s="177"/>
      <c r="K513" s="177"/>
      <c r="L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</row>
    <row r="514" spans="1:30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J514" s="177"/>
      <c r="K514" s="177"/>
      <c r="L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</row>
    <row r="515" spans="1:30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J515" s="177"/>
      <c r="K515" s="177"/>
      <c r="L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</row>
    <row r="516" spans="1:30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J516" s="177"/>
      <c r="K516" s="177"/>
      <c r="L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</row>
    <row r="517" spans="1:30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J517" s="177"/>
      <c r="K517" s="177"/>
      <c r="L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</row>
    <row r="518" spans="1:30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J518" s="177"/>
      <c r="K518" s="177"/>
      <c r="L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</row>
    <row r="519" spans="1:30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J519" s="177"/>
      <c r="K519" s="177"/>
      <c r="L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</row>
    <row r="520" spans="1:30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J520" s="177"/>
      <c r="K520" s="177"/>
      <c r="L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</row>
    <row r="521" spans="1:30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J521" s="177"/>
      <c r="K521" s="177"/>
      <c r="L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</row>
    <row r="522" spans="1:30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J522" s="177"/>
      <c r="K522" s="177"/>
      <c r="L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</row>
    <row r="523" spans="1:30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J523" s="177"/>
      <c r="K523" s="177"/>
      <c r="L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</row>
    <row r="524" spans="1:30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J524" s="177"/>
      <c r="K524" s="177"/>
      <c r="L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</row>
    <row r="525" spans="1:30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J525" s="177"/>
      <c r="K525" s="177"/>
      <c r="L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</row>
    <row r="526" spans="1:30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J526" s="177"/>
      <c r="K526" s="177"/>
      <c r="L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</row>
    <row r="527" spans="1:30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J527" s="177"/>
      <c r="K527" s="177"/>
      <c r="L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</row>
    <row r="528" spans="1:30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J528" s="177"/>
      <c r="K528" s="177"/>
      <c r="L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</row>
    <row r="529" spans="1:30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J529" s="177"/>
      <c r="K529" s="177"/>
      <c r="L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</row>
    <row r="530" spans="1:30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J530" s="177"/>
      <c r="K530" s="177"/>
      <c r="L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</row>
    <row r="531" spans="1:30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J531" s="177"/>
      <c r="K531" s="177"/>
      <c r="L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</row>
    <row r="532" spans="1:30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J532" s="177"/>
      <c r="K532" s="177"/>
      <c r="L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</row>
    <row r="533" spans="1:30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J533" s="177"/>
      <c r="K533" s="177"/>
      <c r="L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</row>
    <row r="534" spans="1:30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J534" s="177"/>
      <c r="K534" s="177"/>
      <c r="L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</row>
    <row r="535" spans="1:30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J535" s="177"/>
      <c r="K535" s="177"/>
      <c r="L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</row>
    <row r="536" spans="1:30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J536" s="177"/>
      <c r="K536" s="177"/>
      <c r="L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</row>
    <row r="537" spans="1:30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J537" s="177"/>
      <c r="K537" s="177"/>
      <c r="L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</row>
    <row r="538" spans="1:30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J538" s="177"/>
      <c r="K538" s="177"/>
      <c r="L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</row>
    <row r="539" spans="1:30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J539" s="177"/>
      <c r="K539" s="177"/>
      <c r="L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</row>
    <row r="540" spans="1:30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J540" s="177"/>
      <c r="K540" s="177"/>
      <c r="L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</row>
    <row r="541" spans="1:30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J541" s="177"/>
      <c r="K541" s="177"/>
      <c r="L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</row>
    <row r="542" spans="1:30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J542" s="177"/>
      <c r="K542" s="177"/>
      <c r="L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</row>
    <row r="543" spans="1:30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J543" s="177"/>
      <c r="K543" s="177"/>
      <c r="L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</row>
    <row r="544" spans="1:30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J544" s="177"/>
      <c r="K544" s="177"/>
      <c r="L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</row>
    <row r="545" spans="1:30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J545" s="177"/>
      <c r="K545" s="177"/>
      <c r="L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</row>
    <row r="546" spans="1:30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J546" s="177"/>
      <c r="K546" s="177"/>
      <c r="L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</row>
    <row r="547" spans="1:30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J547" s="177"/>
      <c r="K547" s="177"/>
      <c r="L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</row>
    <row r="548" spans="1:30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J548" s="177"/>
      <c r="K548" s="177"/>
      <c r="L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</row>
    <row r="549" spans="1:30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J549" s="177"/>
      <c r="K549" s="177"/>
      <c r="L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</row>
    <row r="550" spans="1:30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J550" s="177"/>
      <c r="K550" s="177"/>
      <c r="L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</row>
    <row r="551" spans="1:30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J551" s="177"/>
      <c r="K551" s="177"/>
      <c r="L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</row>
    <row r="552" spans="1:30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J552" s="177"/>
      <c r="K552" s="177"/>
      <c r="L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</row>
    <row r="553" spans="1:30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J553" s="177"/>
      <c r="K553" s="177"/>
      <c r="L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</row>
    <row r="554" spans="1:30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J554" s="177"/>
      <c r="K554" s="177"/>
      <c r="L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</row>
    <row r="555" spans="1:30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J555" s="177"/>
      <c r="K555" s="177"/>
      <c r="L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</row>
    <row r="556" spans="1:30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J556" s="177"/>
      <c r="K556" s="177"/>
      <c r="L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</row>
    <row r="557" spans="1:30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J557" s="177"/>
      <c r="K557" s="177"/>
      <c r="L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</row>
    <row r="558" spans="1:30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J558" s="177"/>
      <c r="K558" s="177"/>
      <c r="L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</row>
    <row r="559" spans="1:30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J559" s="177"/>
      <c r="K559" s="177"/>
      <c r="L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</row>
    <row r="560" spans="1:30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J560" s="177"/>
      <c r="K560" s="177"/>
      <c r="L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</row>
    <row r="561" spans="1:30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J561" s="177"/>
      <c r="K561" s="177"/>
      <c r="L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</row>
    <row r="562" spans="1:30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J562" s="177"/>
      <c r="K562" s="177"/>
      <c r="L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</row>
    <row r="563" spans="1:30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J563" s="177"/>
      <c r="K563" s="177"/>
      <c r="L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</row>
    <row r="564" spans="1:30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J564" s="177"/>
      <c r="K564" s="177"/>
      <c r="L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</row>
    <row r="565" spans="1:30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J565" s="177"/>
      <c r="K565" s="177"/>
      <c r="L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</row>
    <row r="566" spans="1:30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J566" s="177"/>
      <c r="K566" s="177"/>
      <c r="L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</row>
    <row r="567" spans="1:30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J567" s="177"/>
      <c r="K567" s="177"/>
      <c r="L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</row>
    <row r="568" spans="1:30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J568" s="177"/>
      <c r="K568" s="177"/>
      <c r="L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</row>
    <row r="569" spans="1:30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J569" s="177"/>
      <c r="K569" s="177"/>
      <c r="L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</row>
    <row r="570" spans="1:30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J570" s="177"/>
      <c r="K570" s="177"/>
      <c r="L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</row>
    <row r="571" spans="1:30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J571" s="177"/>
      <c r="K571" s="177"/>
      <c r="L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</row>
    <row r="572" spans="1:30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J572" s="177"/>
      <c r="K572" s="177"/>
      <c r="L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</row>
    <row r="573" spans="1:30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J573" s="177"/>
      <c r="K573" s="177"/>
      <c r="L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</row>
    <row r="574" spans="1:30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J574" s="177"/>
      <c r="K574" s="177"/>
      <c r="L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</row>
    <row r="575" spans="1:30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J575" s="177"/>
      <c r="K575" s="177"/>
      <c r="L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</row>
    <row r="576" spans="1:30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J576" s="177"/>
      <c r="K576" s="177"/>
      <c r="L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</row>
    <row r="577" spans="1:30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J577" s="177"/>
      <c r="K577" s="177"/>
      <c r="L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</row>
    <row r="578" spans="1:30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J578" s="177"/>
      <c r="K578" s="177"/>
      <c r="L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</row>
    <row r="579" spans="1:30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J579" s="177"/>
      <c r="K579" s="177"/>
      <c r="L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</row>
    <row r="580" spans="1:30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J580" s="177"/>
      <c r="K580" s="177"/>
      <c r="L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</row>
    <row r="581" spans="1:30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J581" s="177"/>
      <c r="K581" s="177"/>
      <c r="L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</row>
    <row r="582" spans="1:30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J582" s="177"/>
      <c r="K582" s="177"/>
      <c r="L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</row>
    <row r="583" spans="1:30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J583" s="177"/>
      <c r="K583" s="177"/>
      <c r="L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</row>
    <row r="584" spans="1:30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J584" s="177"/>
      <c r="K584" s="177"/>
      <c r="L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</row>
    <row r="585" spans="1:30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J585" s="177"/>
      <c r="K585" s="177"/>
      <c r="L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</row>
    <row r="586" spans="1:30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J586" s="177"/>
      <c r="K586" s="177"/>
      <c r="L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</row>
    <row r="587" spans="1:30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J587" s="177"/>
      <c r="K587" s="177"/>
      <c r="L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</row>
    <row r="588" spans="1:30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J588" s="177"/>
      <c r="K588" s="177"/>
      <c r="L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</row>
    <row r="589" spans="1:30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J589" s="177"/>
      <c r="K589" s="177"/>
      <c r="L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</row>
    <row r="590" spans="1:30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J590" s="177"/>
      <c r="K590" s="177"/>
      <c r="L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</row>
    <row r="591" spans="1:30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J591" s="177"/>
      <c r="K591" s="177"/>
      <c r="L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</row>
    <row r="592" spans="1:30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J592" s="177"/>
      <c r="K592" s="177"/>
      <c r="L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</row>
    <row r="593" spans="1:30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J593" s="177"/>
      <c r="K593" s="177"/>
      <c r="L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</row>
    <row r="594" spans="1:30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J594" s="177"/>
      <c r="K594" s="177"/>
      <c r="L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</row>
    <row r="595" spans="1:30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J595" s="177"/>
      <c r="K595" s="177"/>
      <c r="L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</row>
    <row r="596" spans="1:30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J596" s="177"/>
      <c r="K596" s="177"/>
      <c r="L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</row>
    <row r="597" spans="1:30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J597" s="177"/>
      <c r="K597" s="177"/>
      <c r="L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</row>
    <row r="598" spans="1:30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J598" s="177"/>
      <c r="K598" s="177"/>
      <c r="L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</row>
    <row r="599" spans="1:30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J599" s="177"/>
      <c r="K599" s="177"/>
      <c r="L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</row>
    <row r="600" spans="1:30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J600" s="177"/>
      <c r="K600" s="177"/>
      <c r="L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</row>
    <row r="601" spans="1:30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J601" s="177"/>
      <c r="K601" s="177"/>
      <c r="L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</row>
    <row r="602" spans="1:30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J602" s="177"/>
      <c r="K602" s="177"/>
      <c r="L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</row>
    <row r="603" spans="1:30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J603" s="177"/>
      <c r="K603" s="177"/>
      <c r="L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</row>
    <row r="604" spans="1:30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J604" s="177"/>
      <c r="K604" s="177"/>
      <c r="L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</row>
    <row r="605" spans="1:30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J605" s="177"/>
      <c r="K605" s="177"/>
      <c r="L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</row>
    <row r="606" spans="1:30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J606" s="177"/>
      <c r="K606" s="177"/>
      <c r="L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</row>
    <row r="607" spans="1:30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J607" s="177"/>
      <c r="K607" s="177"/>
      <c r="L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</row>
    <row r="608" spans="1:30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J608" s="177"/>
      <c r="K608" s="177"/>
      <c r="L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</row>
    <row r="609" spans="1:30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J609" s="177"/>
      <c r="K609" s="177"/>
      <c r="L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</row>
    <row r="610" spans="1:30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J610" s="177"/>
      <c r="K610" s="177"/>
      <c r="L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</row>
    <row r="611" spans="1:30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J611" s="177"/>
      <c r="K611" s="177"/>
      <c r="L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</row>
    <row r="612" spans="1:30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J612" s="177"/>
      <c r="K612" s="177"/>
      <c r="L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</row>
    <row r="613" spans="1:30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J613" s="177"/>
      <c r="K613" s="177"/>
      <c r="L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</row>
    <row r="614" spans="1:30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J614" s="177"/>
      <c r="K614" s="177"/>
      <c r="L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</row>
    <row r="615" spans="1:30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J615" s="177"/>
      <c r="K615" s="177"/>
      <c r="L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</row>
    <row r="616" spans="1:30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J616" s="177"/>
      <c r="K616" s="177"/>
      <c r="L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</row>
    <row r="617" spans="1:30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J617" s="177"/>
      <c r="K617" s="177"/>
      <c r="L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</row>
    <row r="618" spans="1:30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J618" s="177"/>
      <c r="K618" s="177"/>
      <c r="L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</row>
    <row r="619" spans="1:30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J619" s="177"/>
      <c r="K619" s="177"/>
      <c r="L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</row>
    <row r="620" spans="1:30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J620" s="177"/>
      <c r="K620" s="177"/>
      <c r="L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</row>
    <row r="621" spans="1:30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J621" s="177"/>
      <c r="K621" s="177"/>
      <c r="L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</row>
    <row r="622" spans="1:30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J622" s="177"/>
      <c r="K622" s="177"/>
      <c r="L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</row>
    <row r="623" spans="1:30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J623" s="177"/>
      <c r="K623" s="177"/>
      <c r="L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</row>
    <row r="624" spans="1:30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J624" s="177"/>
      <c r="K624" s="177"/>
      <c r="L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</row>
    <row r="625" spans="1:30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J625" s="177"/>
      <c r="K625" s="177"/>
      <c r="L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</row>
    <row r="626" spans="1:30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J626" s="177"/>
      <c r="K626" s="177"/>
      <c r="L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</row>
    <row r="627" spans="1:30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J627" s="177"/>
      <c r="K627" s="177"/>
      <c r="L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</row>
    <row r="628" spans="1:30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J628" s="177"/>
      <c r="K628" s="177"/>
      <c r="L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</row>
    <row r="629" spans="1:30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J629" s="177"/>
      <c r="K629" s="177"/>
      <c r="L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</row>
    <row r="630" spans="1:30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J630" s="177"/>
      <c r="K630" s="177"/>
      <c r="L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</row>
    <row r="631" spans="1:30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J631" s="177"/>
      <c r="K631" s="177"/>
      <c r="L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</row>
    <row r="632" spans="1:30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J632" s="177"/>
      <c r="K632" s="177"/>
      <c r="L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</row>
    <row r="633" spans="1:30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J633" s="177"/>
      <c r="K633" s="177"/>
      <c r="L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</row>
    <row r="634" spans="1:30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J634" s="177"/>
      <c r="K634" s="177"/>
      <c r="L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</row>
    <row r="635" spans="1:30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J635" s="177"/>
      <c r="K635" s="177"/>
      <c r="L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</row>
    <row r="636" spans="1:30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J636" s="177"/>
      <c r="K636" s="177"/>
      <c r="L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</row>
    <row r="637" spans="1:30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J637" s="177"/>
      <c r="K637" s="177"/>
      <c r="L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</row>
    <row r="638" spans="1:30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J638" s="177"/>
      <c r="K638" s="177"/>
      <c r="L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</row>
    <row r="639" spans="1:30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J639" s="177"/>
      <c r="K639" s="177"/>
      <c r="L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</row>
    <row r="640" spans="1:30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J640" s="177"/>
      <c r="K640" s="177"/>
      <c r="L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</row>
    <row r="641" spans="1:30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J641" s="177"/>
      <c r="K641" s="177"/>
      <c r="L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</row>
    <row r="642" spans="1:30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J642" s="177"/>
      <c r="K642" s="177"/>
      <c r="L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</row>
    <row r="643" spans="1:30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J643" s="177"/>
      <c r="K643" s="177"/>
      <c r="L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</row>
    <row r="644" spans="1:30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J644" s="177"/>
      <c r="K644" s="177"/>
      <c r="L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</row>
    <row r="645" spans="1:30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J645" s="177"/>
      <c r="K645" s="177"/>
      <c r="L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</row>
    <row r="646" spans="1:30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J646" s="177"/>
      <c r="K646" s="177"/>
      <c r="L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</row>
    <row r="647" spans="1:30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J647" s="177"/>
      <c r="K647" s="177"/>
      <c r="L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</row>
    <row r="648" spans="1:30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J648" s="177"/>
      <c r="K648" s="177"/>
      <c r="L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</row>
    <row r="649" spans="1:30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J649" s="177"/>
      <c r="K649" s="177"/>
      <c r="L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</row>
    <row r="650" spans="1:30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J650" s="177"/>
      <c r="K650" s="177"/>
      <c r="L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</row>
    <row r="651" spans="1:30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J651" s="177"/>
      <c r="K651" s="177"/>
      <c r="L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</row>
    <row r="652" spans="1:30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J652" s="177"/>
      <c r="K652" s="177"/>
      <c r="L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</row>
    <row r="653" spans="1:30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J653" s="177"/>
      <c r="K653" s="177"/>
      <c r="L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</row>
    <row r="654" spans="1:30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J654" s="177"/>
      <c r="K654" s="177"/>
      <c r="L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</row>
    <row r="655" spans="1:30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J655" s="177"/>
      <c r="K655" s="177"/>
      <c r="L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</row>
    <row r="656" spans="1:30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J656" s="177"/>
      <c r="K656" s="177"/>
      <c r="L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</row>
    <row r="657" spans="1:30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J657" s="177"/>
      <c r="K657" s="177"/>
      <c r="L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</row>
    <row r="658" spans="1:30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J658" s="177"/>
      <c r="K658" s="177"/>
      <c r="L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</row>
    <row r="659" spans="1:30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J659" s="177"/>
      <c r="K659" s="177"/>
      <c r="L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</row>
    <row r="660" spans="1:30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J660" s="177"/>
      <c r="K660" s="177"/>
      <c r="L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</row>
    <row r="661" spans="1:30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J661" s="177"/>
      <c r="K661" s="177"/>
      <c r="L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</row>
    <row r="662" spans="1:30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J662" s="177"/>
      <c r="K662" s="177"/>
      <c r="L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</row>
    <row r="663" spans="1:30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J663" s="177"/>
      <c r="K663" s="177"/>
      <c r="L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</row>
    <row r="664" spans="1:30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J664" s="177"/>
      <c r="K664" s="177"/>
      <c r="L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</row>
    <row r="665" spans="1:30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J665" s="177"/>
      <c r="K665" s="177"/>
      <c r="L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</row>
    <row r="666" spans="1:30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J666" s="177"/>
      <c r="K666" s="177"/>
      <c r="L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</row>
    <row r="667" spans="1:30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J667" s="177"/>
      <c r="K667" s="177"/>
      <c r="L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</row>
    <row r="668" spans="1:30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J668" s="177"/>
      <c r="K668" s="177"/>
      <c r="L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</row>
    <row r="669" spans="1:30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J669" s="177"/>
      <c r="K669" s="177"/>
      <c r="L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</row>
    <row r="670" spans="1:30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J670" s="177"/>
      <c r="K670" s="177"/>
      <c r="L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77"/>
    </row>
    <row r="671" spans="1:30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J671" s="177"/>
      <c r="K671" s="177"/>
      <c r="L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77"/>
    </row>
    <row r="672" spans="1:30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J672" s="177"/>
      <c r="K672" s="177"/>
      <c r="L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77"/>
    </row>
    <row r="673" spans="1:30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J673" s="177"/>
      <c r="K673" s="177"/>
      <c r="L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77"/>
    </row>
    <row r="674" spans="1:30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J674" s="177"/>
      <c r="K674" s="177"/>
      <c r="L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77"/>
    </row>
    <row r="675" spans="1:30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J675" s="177"/>
      <c r="K675" s="177"/>
      <c r="L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77"/>
    </row>
    <row r="676" spans="1:30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J676" s="177"/>
      <c r="K676" s="177"/>
      <c r="L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77"/>
    </row>
    <row r="677" spans="1:30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J677" s="177"/>
      <c r="K677" s="177"/>
      <c r="L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77"/>
    </row>
    <row r="678" spans="1:30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J678" s="177"/>
      <c r="K678" s="177"/>
      <c r="L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77"/>
    </row>
    <row r="679" spans="1:30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J679" s="177"/>
      <c r="K679" s="177"/>
      <c r="L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77"/>
    </row>
    <row r="680" spans="1:30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J680" s="177"/>
      <c r="K680" s="177"/>
      <c r="L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77"/>
    </row>
    <row r="681" spans="1:30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J681" s="177"/>
      <c r="K681" s="177"/>
      <c r="L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77"/>
    </row>
    <row r="682" spans="1:30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J682" s="177"/>
      <c r="K682" s="177"/>
      <c r="L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77"/>
    </row>
    <row r="683" spans="1:30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J683" s="177"/>
      <c r="K683" s="177"/>
      <c r="L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77"/>
    </row>
    <row r="684" spans="1:30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J684" s="177"/>
      <c r="K684" s="177"/>
      <c r="L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  <c r="AA684" s="177"/>
      <c r="AB684" s="177"/>
      <c r="AC684" s="177"/>
      <c r="AD684" s="177"/>
    </row>
    <row r="685" spans="1:30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J685" s="177"/>
      <c r="K685" s="177"/>
      <c r="L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  <c r="AA685" s="177"/>
      <c r="AB685" s="177"/>
      <c r="AC685" s="177"/>
      <c r="AD685" s="177"/>
    </row>
    <row r="686" spans="1:30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J686" s="177"/>
      <c r="K686" s="177"/>
      <c r="L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  <c r="AA686" s="177"/>
      <c r="AB686" s="177"/>
      <c r="AC686" s="177"/>
      <c r="AD686" s="177"/>
    </row>
    <row r="687" spans="1:30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J687" s="177"/>
      <c r="K687" s="177"/>
      <c r="L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  <c r="AA687" s="177"/>
      <c r="AB687" s="177"/>
      <c r="AC687" s="177"/>
      <c r="AD687" s="177"/>
    </row>
    <row r="688" spans="1:30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J688" s="177"/>
      <c r="K688" s="177"/>
      <c r="L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77"/>
    </row>
    <row r="689" spans="1:30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J689" s="177"/>
      <c r="K689" s="177"/>
      <c r="L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77"/>
    </row>
    <row r="690" spans="1:30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J690" s="177"/>
      <c r="K690" s="177"/>
      <c r="L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77"/>
    </row>
    <row r="691" spans="1:30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J691" s="177"/>
      <c r="K691" s="177"/>
      <c r="L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77"/>
    </row>
    <row r="692" spans="1:30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J692" s="177"/>
      <c r="K692" s="177"/>
      <c r="L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77"/>
    </row>
    <row r="693" spans="1:30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J693" s="177"/>
      <c r="K693" s="177"/>
      <c r="L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77"/>
    </row>
    <row r="694" spans="1:30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J694" s="177"/>
      <c r="K694" s="177"/>
      <c r="L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  <c r="AA694" s="177"/>
      <c r="AB694" s="177"/>
      <c r="AC694" s="177"/>
      <c r="AD694" s="177"/>
    </row>
    <row r="695" spans="1:30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J695" s="177"/>
      <c r="K695" s="177"/>
      <c r="L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  <c r="AA695" s="177"/>
      <c r="AB695" s="177"/>
      <c r="AC695" s="177"/>
      <c r="AD695" s="177"/>
    </row>
    <row r="696" spans="1:30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J696" s="177"/>
      <c r="K696" s="177"/>
      <c r="L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  <c r="AA696" s="177"/>
      <c r="AB696" s="177"/>
      <c r="AC696" s="177"/>
      <c r="AD696" s="177"/>
    </row>
    <row r="697" spans="1:30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J697" s="177"/>
      <c r="K697" s="177"/>
      <c r="L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</row>
    <row r="698" spans="1:30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J698" s="177"/>
      <c r="K698" s="177"/>
      <c r="L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</row>
    <row r="699" spans="1:30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J699" s="177"/>
      <c r="K699" s="177"/>
      <c r="L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</row>
    <row r="700" spans="1:30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J700" s="177"/>
      <c r="K700" s="177"/>
      <c r="L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</row>
    <row r="701" spans="1:30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J701" s="177"/>
      <c r="K701" s="177"/>
      <c r="L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</row>
    <row r="702" spans="1:30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J702" s="177"/>
      <c r="K702" s="177"/>
      <c r="L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</row>
    <row r="703" spans="1:30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J703" s="177"/>
      <c r="K703" s="177"/>
      <c r="L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77"/>
    </row>
    <row r="704" spans="1:30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J704" s="177"/>
      <c r="K704" s="177"/>
      <c r="L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77"/>
    </row>
    <row r="705" spans="1:30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J705" s="177"/>
      <c r="K705" s="177"/>
      <c r="L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  <c r="AA705" s="177"/>
      <c r="AB705" s="177"/>
      <c r="AC705" s="177"/>
      <c r="AD705" s="177"/>
    </row>
    <row r="706" spans="1:30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J706" s="177"/>
      <c r="K706" s="177"/>
      <c r="L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  <c r="AA706" s="177"/>
      <c r="AB706" s="177"/>
      <c r="AC706" s="177"/>
      <c r="AD706" s="177"/>
    </row>
    <row r="707" spans="1:30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J707" s="177"/>
      <c r="K707" s="177"/>
      <c r="L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  <c r="AA707" s="177"/>
      <c r="AB707" s="177"/>
      <c r="AC707" s="177"/>
      <c r="AD707" s="177"/>
    </row>
    <row r="708" spans="1:30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J708" s="177"/>
      <c r="K708" s="177"/>
      <c r="L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  <c r="AA708" s="177"/>
      <c r="AB708" s="177"/>
      <c r="AC708" s="177"/>
      <c r="AD708" s="177"/>
    </row>
    <row r="709" spans="1:30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J709" s="177"/>
      <c r="K709" s="177"/>
      <c r="L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  <c r="AA709" s="177"/>
      <c r="AB709" s="177"/>
      <c r="AC709" s="177"/>
      <c r="AD709" s="177"/>
    </row>
    <row r="710" spans="1:30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J710" s="177"/>
      <c r="K710" s="177"/>
      <c r="L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  <c r="AA710" s="177"/>
      <c r="AB710" s="177"/>
      <c r="AC710" s="177"/>
      <c r="AD710" s="177"/>
    </row>
    <row r="711" spans="1:30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J711" s="177"/>
      <c r="K711" s="177"/>
      <c r="L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77"/>
    </row>
    <row r="712" spans="1:30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J712" s="177"/>
      <c r="K712" s="177"/>
      <c r="L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77"/>
    </row>
    <row r="713" spans="1:30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J713" s="177"/>
      <c r="K713" s="177"/>
      <c r="L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77"/>
    </row>
    <row r="714" spans="1:30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J714" s="177"/>
      <c r="K714" s="177"/>
      <c r="L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  <c r="AA714" s="177"/>
      <c r="AB714" s="177"/>
      <c r="AC714" s="177"/>
      <c r="AD714" s="177"/>
    </row>
    <row r="715" spans="1:30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J715" s="177"/>
      <c r="K715" s="177"/>
      <c r="L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  <c r="AA715" s="177"/>
      <c r="AB715" s="177"/>
      <c r="AC715" s="177"/>
      <c r="AD715" s="177"/>
    </row>
    <row r="716" spans="1:30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J716" s="177"/>
      <c r="K716" s="177"/>
      <c r="L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  <c r="AA716" s="177"/>
      <c r="AB716" s="177"/>
      <c r="AC716" s="177"/>
      <c r="AD716" s="177"/>
    </row>
    <row r="717" spans="1:30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J717" s="177"/>
      <c r="K717" s="177"/>
      <c r="L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  <c r="AA717" s="177"/>
      <c r="AB717" s="177"/>
      <c r="AC717" s="177"/>
      <c r="AD717" s="177"/>
    </row>
    <row r="718" spans="1:30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J718" s="177"/>
      <c r="K718" s="177"/>
      <c r="L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  <c r="AA718" s="177"/>
      <c r="AB718" s="177"/>
      <c r="AC718" s="177"/>
      <c r="AD718" s="177"/>
    </row>
    <row r="719" spans="1:30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J719" s="177"/>
      <c r="K719" s="177"/>
      <c r="L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  <c r="AA719" s="177"/>
      <c r="AB719" s="177"/>
      <c r="AC719" s="177"/>
      <c r="AD719" s="177"/>
    </row>
    <row r="720" spans="1:30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J720" s="177"/>
      <c r="K720" s="177"/>
      <c r="L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  <c r="AA720" s="177"/>
      <c r="AB720" s="177"/>
      <c r="AC720" s="177"/>
      <c r="AD720" s="177"/>
    </row>
    <row r="721" spans="1:30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J721" s="177"/>
      <c r="K721" s="177"/>
      <c r="L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77"/>
    </row>
    <row r="722" spans="1:30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J722" s="177"/>
      <c r="K722" s="177"/>
      <c r="L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77"/>
    </row>
    <row r="723" spans="1:30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J723" s="177"/>
      <c r="K723" s="177"/>
      <c r="L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77"/>
    </row>
    <row r="724" spans="1:30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J724" s="177"/>
      <c r="K724" s="177"/>
      <c r="L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77"/>
    </row>
    <row r="725" spans="1:30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J725" s="177"/>
      <c r="K725" s="177"/>
      <c r="L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  <c r="AA725" s="177"/>
      <c r="AB725" s="177"/>
      <c r="AC725" s="177"/>
      <c r="AD725" s="177"/>
    </row>
    <row r="726" spans="1:30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J726" s="177"/>
      <c r="K726" s="177"/>
      <c r="L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  <c r="AA726" s="177"/>
      <c r="AB726" s="177"/>
      <c r="AC726" s="177"/>
      <c r="AD726" s="177"/>
    </row>
    <row r="727" spans="1:30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J727" s="177"/>
      <c r="K727" s="177"/>
      <c r="L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  <c r="AA727" s="177"/>
      <c r="AB727" s="177"/>
      <c r="AC727" s="177"/>
      <c r="AD727" s="177"/>
    </row>
    <row r="728" spans="1:30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J728" s="177"/>
      <c r="K728" s="177"/>
      <c r="L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  <c r="AA728" s="177"/>
      <c r="AB728" s="177"/>
      <c r="AC728" s="177"/>
      <c r="AD728" s="177"/>
    </row>
    <row r="729" spans="1:30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J729" s="177"/>
      <c r="K729" s="177"/>
      <c r="L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  <c r="AA729" s="177"/>
      <c r="AB729" s="177"/>
      <c r="AC729" s="177"/>
      <c r="AD729" s="177"/>
    </row>
    <row r="730" spans="1:30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J730" s="177"/>
      <c r="K730" s="177"/>
      <c r="L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  <c r="AA730" s="177"/>
      <c r="AB730" s="177"/>
      <c r="AC730" s="177"/>
      <c r="AD730" s="177"/>
    </row>
    <row r="731" spans="1:30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J731" s="177"/>
      <c r="K731" s="177"/>
      <c r="L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  <c r="AA731" s="177"/>
      <c r="AB731" s="177"/>
      <c r="AC731" s="177"/>
      <c r="AD731" s="177"/>
    </row>
    <row r="732" spans="1:30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J732" s="177"/>
      <c r="K732" s="177"/>
      <c r="L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  <c r="AA732" s="177"/>
      <c r="AB732" s="177"/>
      <c r="AC732" s="177"/>
      <c r="AD732" s="177"/>
    </row>
    <row r="733" spans="1:30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J733" s="177"/>
      <c r="K733" s="177"/>
      <c r="L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  <c r="AA733" s="177"/>
      <c r="AB733" s="177"/>
      <c r="AC733" s="177"/>
      <c r="AD733" s="177"/>
    </row>
    <row r="734" spans="1:30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J734" s="177"/>
      <c r="K734" s="177"/>
      <c r="L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77"/>
    </row>
    <row r="735" spans="1:30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J735" s="177"/>
      <c r="K735" s="177"/>
      <c r="L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  <c r="AA735" s="177"/>
      <c r="AB735" s="177"/>
      <c r="AC735" s="177"/>
      <c r="AD735" s="177"/>
    </row>
    <row r="736" spans="1:30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J736" s="177"/>
      <c r="K736" s="177"/>
      <c r="L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  <c r="AA736" s="177"/>
      <c r="AB736" s="177"/>
      <c r="AC736" s="177"/>
      <c r="AD736" s="177"/>
    </row>
    <row r="737" spans="1:30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J737" s="177"/>
      <c r="K737" s="177"/>
      <c r="L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77"/>
    </row>
    <row r="738" spans="1:30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J738" s="177"/>
      <c r="K738" s="177"/>
      <c r="L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  <c r="AA738" s="177"/>
      <c r="AB738" s="177"/>
      <c r="AC738" s="177"/>
      <c r="AD738" s="177"/>
    </row>
    <row r="739" spans="1:30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J739" s="177"/>
      <c r="K739" s="177"/>
      <c r="L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  <c r="AA739" s="177"/>
      <c r="AB739" s="177"/>
      <c r="AC739" s="177"/>
      <c r="AD739" s="177"/>
    </row>
    <row r="740" spans="1:30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J740" s="177"/>
      <c r="K740" s="177"/>
      <c r="L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  <c r="AA740" s="177"/>
      <c r="AB740" s="177"/>
      <c r="AC740" s="177"/>
      <c r="AD740" s="177"/>
    </row>
    <row r="741" spans="1:30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J741" s="177"/>
      <c r="K741" s="177"/>
      <c r="L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  <c r="AA741" s="177"/>
      <c r="AB741" s="177"/>
      <c r="AC741" s="177"/>
      <c r="AD741" s="177"/>
    </row>
    <row r="742" spans="1:30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J742" s="177"/>
      <c r="K742" s="177"/>
      <c r="L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77"/>
      <c r="AD742" s="177"/>
    </row>
    <row r="743" spans="1:30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J743" s="177"/>
      <c r="K743" s="177"/>
      <c r="L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  <c r="AA743" s="177"/>
      <c r="AB743" s="177"/>
      <c r="AC743" s="177"/>
      <c r="AD743" s="177"/>
    </row>
    <row r="744" spans="1:30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J744" s="177"/>
      <c r="K744" s="177"/>
      <c r="L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77"/>
    </row>
    <row r="745" spans="1:30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J745" s="177"/>
      <c r="K745" s="177"/>
      <c r="L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77"/>
    </row>
    <row r="746" spans="1:30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J746" s="177"/>
      <c r="K746" s="177"/>
      <c r="L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77"/>
    </row>
    <row r="747" spans="1:30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J747" s="177"/>
      <c r="K747" s="177"/>
      <c r="L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77"/>
    </row>
    <row r="748" spans="1:30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J748" s="177"/>
      <c r="K748" s="177"/>
      <c r="L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  <c r="AA748" s="177"/>
      <c r="AB748" s="177"/>
      <c r="AC748" s="177"/>
      <c r="AD748" s="177"/>
    </row>
    <row r="749" spans="1:30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J749" s="177"/>
      <c r="K749" s="177"/>
      <c r="L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77"/>
    </row>
    <row r="750" spans="1:30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J750" s="177"/>
      <c r="K750" s="177"/>
      <c r="L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77"/>
    </row>
    <row r="751" spans="1:30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J751" s="177"/>
      <c r="K751" s="177"/>
      <c r="L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77"/>
    </row>
    <row r="752" spans="1:30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J752" s="177"/>
      <c r="K752" s="177"/>
      <c r="L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77"/>
    </row>
    <row r="753" spans="1:30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J753" s="177"/>
      <c r="K753" s="177"/>
      <c r="L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  <c r="AA753" s="177"/>
      <c r="AB753" s="177"/>
      <c r="AC753" s="177"/>
      <c r="AD753" s="177"/>
    </row>
    <row r="754" spans="1:30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J754" s="177"/>
      <c r="K754" s="177"/>
      <c r="L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  <c r="AA754" s="177"/>
      <c r="AB754" s="177"/>
      <c r="AC754" s="177"/>
      <c r="AD754" s="177"/>
    </row>
    <row r="755" spans="1:30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J755" s="177"/>
      <c r="K755" s="177"/>
      <c r="L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77"/>
    </row>
    <row r="756" spans="1:30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J756" s="177"/>
      <c r="K756" s="177"/>
      <c r="L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77"/>
    </row>
    <row r="757" spans="1:30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J757" s="177"/>
      <c r="K757" s="177"/>
      <c r="L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77"/>
    </row>
    <row r="758" spans="1:30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J758" s="177"/>
      <c r="K758" s="177"/>
      <c r="L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77"/>
    </row>
    <row r="759" spans="1:30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J759" s="177"/>
      <c r="K759" s="177"/>
      <c r="L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  <c r="AA759" s="177"/>
      <c r="AB759" s="177"/>
      <c r="AC759" s="177"/>
      <c r="AD759" s="177"/>
    </row>
    <row r="760" spans="1:30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J760" s="177"/>
      <c r="K760" s="177"/>
      <c r="L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77"/>
    </row>
    <row r="761" spans="1:30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J761" s="177"/>
      <c r="K761" s="177"/>
      <c r="L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77"/>
    </row>
    <row r="762" spans="1:30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J762" s="177"/>
      <c r="K762" s="177"/>
      <c r="L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77"/>
    </row>
    <row r="763" spans="1:30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J763" s="177"/>
      <c r="K763" s="177"/>
      <c r="L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77"/>
    </row>
    <row r="764" spans="1:30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J764" s="177"/>
      <c r="K764" s="177"/>
      <c r="L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  <c r="AA764" s="177"/>
      <c r="AB764" s="177"/>
      <c r="AC764" s="177"/>
      <c r="AD764" s="177"/>
    </row>
    <row r="765" spans="1:30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J765" s="177"/>
      <c r="K765" s="177"/>
      <c r="L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77"/>
    </row>
    <row r="766" spans="1:30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J766" s="177"/>
      <c r="K766" s="177"/>
      <c r="L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77"/>
    </row>
    <row r="767" spans="1:30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J767" s="177"/>
      <c r="K767" s="177"/>
      <c r="L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77"/>
    </row>
    <row r="768" spans="1:30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J768" s="177"/>
      <c r="K768" s="177"/>
      <c r="L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77"/>
    </row>
    <row r="769" spans="1:30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J769" s="177"/>
      <c r="K769" s="177"/>
      <c r="L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77"/>
    </row>
    <row r="770" spans="1:30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J770" s="177"/>
      <c r="K770" s="177"/>
      <c r="L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77"/>
    </row>
    <row r="771" spans="1:30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J771" s="177"/>
      <c r="K771" s="177"/>
      <c r="L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77"/>
    </row>
    <row r="772" spans="1:30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J772" s="177"/>
      <c r="K772" s="177"/>
      <c r="L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77"/>
    </row>
    <row r="773" spans="1:30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J773" s="177"/>
      <c r="K773" s="177"/>
      <c r="L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  <c r="AA773" s="177"/>
      <c r="AB773" s="177"/>
      <c r="AC773" s="177"/>
      <c r="AD773" s="177"/>
    </row>
    <row r="774" spans="1:30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J774" s="177"/>
      <c r="K774" s="177"/>
      <c r="L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77"/>
    </row>
    <row r="775" spans="1:30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J775" s="177"/>
      <c r="K775" s="177"/>
      <c r="L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77"/>
    </row>
    <row r="776" spans="1:30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J776" s="177"/>
      <c r="K776" s="177"/>
      <c r="L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  <c r="AA776" s="177"/>
      <c r="AB776" s="177"/>
      <c r="AC776" s="177"/>
      <c r="AD776" s="177"/>
    </row>
    <row r="777" spans="1:30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J777" s="177"/>
      <c r="K777" s="177"/>
      <c r="L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  <c r="AA777" s="177"/>
      <c r="AB777" s="177"/>
      <c r="AC777" s="177"/>
      <c r="AD777" s="177"/>
    </row>
    <row r="778" spans="1:30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J778" s="177"/>
      <c r="K778" s="177"/>
      <c r="L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77"/>
    </row>
    <row r="779" spans="1:30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J779" s="177"/>
      <c r="K779" s="177"/>
      <c r="L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77"/>
    </row>
    <row r="780" spans="1:30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J780" s="177"/>
      <c r="K780" s="177"/>
      <c r="L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77"/>
    </row>
    <row r="781" spans="1:30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J781" s="177"/>
      <c r="K781" s="177"/>
      <c r="L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  <c r="AA781" s="177"/>
      <c r="AB781" s="177"/>
      <c r="AC781" s="177"/>
      <c r="AD781" s="177"/>
    </row>
    <row r="782" spans="1:30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J782" s="177"/>
      <c r="K782" s="177"/>
      <c r="L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  <c r="AA782" s="177"/>
      <c r="AB782" s="177"/>
      <c r="AC782" s="177"/>
      <c r="AD782" s="177"/>
    </row>
    <row r="783" spans="1:30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J783" s="177"/>
      <c r="K783" s="177"/>
      <c r="L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  <c r="AA783" s="177"/>
      <c r="AB783" s="177"/>
      <c r="AC783" s="177"/>
      <c r="AD783" s="177"/>
    </row>
    <row r="784" spans="1:30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J784" s="177"/>
      <c r="K784" s="177"/>
      <c r="L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77"/>
    </row>
    <row r="785" spans="1:30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J785" s="177"/>
      <c r="K785" s="177"/>
      <c r="L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  <c r="AA785" s="177"/>
      <c r="AB785" s="177"/>
      <c r="AC785" s="177"/>
      <c r="AD785" s="177"/>
    </row>
    <row r="786" spans="1:30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J786" s="177"/>
      <c r="K786" s="177"/>
      <c r="L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  <c r="AA786" s="177"/>
      <c r="AB786" s="177"/>
      <c r="AC786" s="177"/>
      <c r="AD786" s="177"/>
    </row>
    <row r="787" spans="1:30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J787" s="177"/>
      <c r="K787" s="177"/>
      <c r="L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  <c r="AA787" s="177"/>
      <c r="AB787" s="177"/>
      <c r="AC787" s="177"/>
      <c r="AD787" s="177"/>
    </row>
    <row r="788" spans="1:30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J788" s="177"/>
      <c r="K788" s="177"/>
      <c r="L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77"/>
      <c r="AD788" s="177"/>
    </row>
    <row r="789" spans="1:30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J789" s="177"/>
      <c r="K789" s="177"/>
      <c r="L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  <c r="AA789" s="177"/>
      <c r="AB789" s="177"/>
      <c r="AC789" s="177"/>
      <c r="AD789" s="177"/>
    </row>
    <row r="790" spans="1:30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J790" s="177"/>
      <c r="K790" s="177"/>
      <c r="L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  <c r="AA790" s="177"/>
      <c r="AB790" s="177"/>
      <c r="AC790" s="177"/>
      <c r="AD790" s="177"/>
    </row>
    <row r="791" spans="1:30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J791" s="177"/>
      <c r="K791" s="177"/>
      <c r="L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  <c r="AA791" s="177"/>
      <c r="AB791" s="177"/>
      <c r="AC791" s="177"/>
      <c r="AD791" s="177"/>
    </row>
    <row r="792" spans="1:30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J792" s="177"/>
      <c r="K792" s="177"/>
      <c r="L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  <c r="AA792" s="177"/>
      <c r="AB792" s="177"/>
      <c r="AC792" s="177"/>
      <c r="AD792" s="177"/>
    </row>
    <row r="793" spans="1:30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J793" s="177"/>
      <c r="K793" s="177"/>
      <c r="L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77"/>
    </row>
    <row r="794" spans="1:30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J794" s="177"/>
      <c r="K794" s="177"/>
      <c r="L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77"/>
    </row>
    <row r="795" spans="1:30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J795" s="177"/>
      <c r="K795" s="177"/>
      <c r="L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  <c r="AA795" s="177"/>
      <c r="AB795" s="177"/>
      <c r="AC795" s="177"/>
      <c r="AD795" s="177"/>
    </row>
    <row r="796" spans="1:30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J796" s="177"/>
      <c r="K796" s="177"/>
      <c r="L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77"/>
    </row>
    <row r="797" spans="1:30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J797" s="177"/>
      <c r="K797" s="177"/>
      <c r="L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  <c r="AA797" s="177"/>
      <c r="AB797" s="177"/>
      <c r="AC797" s="177"/>
      <c r="AD797" s="177"/>
    </row>
    <row r="798" spans="1:30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J798" s="177"/>
      <c r="K798" s="177"/>
      <c r="L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  <c r="AA798" s="177"/>
      <c r="AB798" s="177"/>
      <c r="AC798" s="177"/>
      <c r="AD798" s="177"/>
    </row>
    <row r="799" spans="1:30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J799" s="177"/>
      <c r="K799" s="177"/>
      <c r="L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77"/>
    </row>
    <row r="800" spans="1:30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J800" s="177"/>
      <c r="K800" s="177"/>
      <c r="L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77"/>
    </row>
    <row r="801" spans="1:30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J801" s="177"/>
      <c r="K801" s="177"/>
      <c r="L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  <c r="AA801" s="177"/>
      <c r="AB801" s="177"/>
      <c r="AC801" s="177"/>
      <c r="AD801" s="177"/>
    </row>
    <row r="802" spans="1:30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J802" s="177"/>
      <c r="K802" s="177"/>
      <c r="L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77"/>
    </row>
    <row r="803" spans="1:30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J803" s="177"/>
      <c r="K803" s="177"/>
      <c r="L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77"/>
    </row>
    <row r="804" spans="1:30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J804" s="177"/>
      <c r="K804" s="177"/>
      <c r="L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77"/>
    </row>
    <row r="805" spans="1:30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J805" s="177"/>
      <c r="K805" s="177"/>
      <c r="L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77"/>
    </row>
    <row r="806" spans="1:30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J806" s="177"/>
      <c r="K806" s="177"/>
      <c r="L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77"/>
    </row>
    <row r="807" spans="1:30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J807" s="177"/>
      <c r="K807" s="177"/>
      <c r="L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77"/>
    </row>
    <row r="808" spans="1:30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J808" s="177"/>
      <c r="K808" s="177"/>
      <c r="L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  <c r="AA808" s="177"/>
      <c r="AB808" s="177"/>
      <c r="AC808" s="177"/>
      <c r="AD808" s="177"/>
    </row>
    <row r="809" spans="1:30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J809" s="177"/>
      <c r="K809" s="177"/>
      <c r="L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77"/>
    </row>
    <row r="810" spans="1:30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J810" s="177"/>
      <c r="K810" s="177"/>
      <c r="L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77"/>
    </row>
    <row r="811" spans="1:30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J811" s="177"/>
      <c r="K811" s="177"/>
      <c r="L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77"/>
    </row>
    <row r="812" spans="1:30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J812" s="177"/>
      <c r="K812" s="177"/>
      <c r="L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77"/>
    </row>
    <row r="813" spans="1:30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J813" s="177"/>
      <c r="K813" s="177"/>
      <c r="L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77"/>
    </row>
    <row r="814" spans="1:30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J814" s="177"/>
      <c r="K814" s="177"/>
      <c r="L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</row>
    <row r="815" spans="1:30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J815" s="177"/>
      <c r="K815" s="177"/>
      <c r="L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</row>
    <row r="816" spans="1:30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J816" s="177"/>
      <c r="K816" s="177"/>
      <c r="L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</row>
    <row r="817" spans="1:30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J817" s="177"/>
      <c r="K817" s="177"/>
      <c r="L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</row>
    <row r="818" spans="1:30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J818" s="177"/>
      <c r="K818" s="177"/>
      <c r="L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</row>
    <row r="819" spans="1:30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J819" s="177"/>
      <c r="K819" s="177"/>
      <c r="L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</row>
    <row r="820" spans="1:30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J820" s="177"/>
      <c r="K820" s="177"/>
      <c r="L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77"/>
    </row>
    <row r="821" spans="1:30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J821" s="177"/>
      <c r="K821" s="177"/>
      <c r="L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77"/>
    </row>
    <row r="822" spans="1:30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J822" s="177"/>
      <c r="K822" s="177"/>
      <c r="L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77"/>
    </row>
    <row r="823" spans="1:30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J823" s="177"/>
      <c r="K823" s="177"/>
      <c r="L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77"/>
    </row>
    <row r="824" spans="1:30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J824" s="177"/>
      <c r="K824" s="177"/>
      <c r="L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77"/>
    </row>
    <row r="825" spans="1:30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J825" s="177"/>
      <c r="K825" s="177"/>
      <c r="L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77"/>
    </row>
    <row r="826" spans="1:30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J826" s="177"/>
      <c r="K826" s="177"/>
      <c r="L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77"/>
    </row>
    <row r="827" spans="1:30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J827" s="177"/>
      <c r="K827" s="177"/>
      <c r="L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77"/>
    </row>
    <row r="828" spans="1:30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J828" s="177"/>
      <c r="K828" s="177"/>
      <c r="L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77"/>
    </row>
    <row r="829" spans="1:30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J829" s="177"/>
      <c r="K829" s="177"/>
      <c r="L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77"/>
    </row>
    <row r="830" spans="1:30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J830" s="177"/>
      <c r="K830" s="177"/>
      <c r="L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77"/>
    </row>
    <row r="831" spans="1:30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J831" s="177"/>
      <c r="K831" s="177"/>
      <c r="L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77"/>
    </row>
    <row r="832" spans="1:30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J832" s="177"/>
      <c r="K832" s="177"/>
      <c r="L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77"/>
    </row>
    <row r="833" spans="1:30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J833" s="177"/>
      <c r="K833" s="177"/>
      <c r="L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77"/>
    </row>
    <row r="834" spans="1:30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J834" s="177"/>
      <c r="K834" s="177"/>
      <c r="L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77"/>
    </row>
    <row r="835" spans="1:30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J835" s="177"/>
      <c r="K835" s="177"/>
      <c r="L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77"/>
    </row>
    <row r="836" spans="1:30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J836" s="177"/>
      <c r="K836" s="177"/>
      <c r="L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77"/>
    </row>
    <row r="837" spans="1:30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J837" s="177"/>
      <c r="K837" s="177"/>
      <c r="L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  <c r="AA837" s="177"/>
      <c r="AB837" s="177"/>
      <c r="AC837" s="177"/>
      <c r="AD837" s="177"/>
    </row>
    <row r="838" spans="1:30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J838" s="177"/>
      <c r="K838" s="177"/>
      <c r="L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  <c r="AA838" s="177"/>
      <c r="AB838" s="177"/>
      <c r="AC838" s="177"/>
      <c r="AD838" s="177"/>
    </row>
    <row r="839" spans="1:30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J839" s="177"/>
      <c r="K839" s="177"/>
      <c r="L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  <c r="AA839" s="177"/>
      <c r="AB839" s="177"/>
      <c r="AC839" s="177"/>
      <c r="AD839" s="177"/>
    </row>
    <row r="840" spans="1:30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J840" s="177"/>
      <c r="K840" s="177"/>
      <c r="L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77"/>
    </row>
    <row r="841" spans="1:30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J841" s="177"/>
      <c r="K841" s="177"/>
      <c r="L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77"/>
    </row>
    <row r="842" spans="1:30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J842" s="177"/>
      <c r="K842" s="177"/>
      <c r="L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77"/>
    </row>
    <row r="843" spans="1:30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J843" s="177"/>
      <c r="K843" s="177"/>
      <c r="L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77"/>
    </row>
    <row r="844" spans="1:30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J844" s="177"/>
      <c r="K844" s="177"/>
      <c r="L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77"/>
    </row>
    <row r="845" spans="1:30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J845" s="177"/>
      <c r="K845" s="177"/>
      <c r="L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77"/>
    </row>
    <row r="846" spans="1:30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J846" s="177"/>
      <c r="K846" s="177"/>
      <c r="L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77"/>
    </row>
    <row r="847" spans="1:30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J847" s="177"/>
      <c r="K847" s="177"/>
      <c r="L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77"/>
    </row>
    <row r="848" spans="1:30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J848" s="177"/>
      <c r="K848" s="177"/>
      <c r="L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77"/>
    </row>
    <row r="849" spans="1:30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J849" s="177"/>
      <c r="K849" s="177"/>
      <c r="L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77"/>
    </row>
    <row r="850" spans="1:30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J850" s="177"/>
      <c r="K850" s="177"/>
      <c r="L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77"/>
    </row>
    <row r="851" spans="1:30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J851" s="177"/>
      <c r="K851" s="177"/>
      <c r="L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77"/>
    </row>
    <row r="852" spans="1:30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J852" s="177"/>
      <c r="K852" s="177"/>
      <c r="L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77"/>
    </row>
    <row r="853" spans="1:30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J853" s="177"/>
      <c r="K853" s="177"/>
      <c r="L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77"/>
    </row>
    <row r="854" spans="1:30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J854" s="177"/>
      <c r="K854" s="177"/>
      <c r="L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77"/>
    </row>
    <row r="855" spans="1:30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J855" s="177"/>
      <c r="K855" s="177"/>
      <c r="L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77"/>
    </row>
    <row r="856" spans="1:30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J856" s="177"/>
      <c r="K856" s="177"/>
      <c r="L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77"/>
    </row>
    <row r="857" spans="1:30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J857" s="177"/>
      <c r="K857" s="177"/>
      <c r="L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77"/>
    </row>
    <row r="858" spans="1:30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J858" s="177"/>
      <c r="K858" s="177"/>
      <c r="L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77"/>
    </row>
    <row r="859" spans="1:30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J859" s="177"/>
      <c r="K859" s="177"/>
      <c r="L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77"/>
    </row>
    <row r="860" spans="1:30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J860" s="177"/>
      <c r="K860" s="177"/>
      <c r="L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77"/>
    </row>
    <row r="861" spans="1:30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J861" s="177"/>
      <c r="K861" s="177"/>
      <c r="L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77"/>
    </row>
    <row r="862" spans="1:30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J862" s="177"/>
      <c r="K862" s="177"/>
      <c r="L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77"/>
    </row>
    <row r="863" spans="1:30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J863" s="177"/>
      <c r="K863" s="177"/>
      <c r="L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77"/>
    </row>
    <row r="864" spans="1:30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J864" s="177"/>
      <c r="K864" s="177"/>
      <c r="L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77"/>
    </row>
    <row r="865" spans="1:30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J865" s="177"/>
      <c r="K865" s="177"/>
      <c r="L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  <c r="AA865" s="177"/>
      <c r="AB865" s="177"/>
      <c r="AC865" s="177"/>
      <c r="AD865" s="177"/>
    </row>
    <row r="866" spans="1:30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J866" s="177"/>
      <c r="K866" s="177"/>
      <c r="L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77"/>
    </row>
    <row r="867" spans="1:30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J867" s="177"/>
      <c r="K867" s="177"/>
      <c r="L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77"/>
    </row>
    <row r="868" spans="1:30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J868" s="177"/>
      <c r="K868" s="177"/>
      <c r="L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77"/>
    </row>
    <row r="869" spans="1:30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J869" s="177"/>
      <c r="K869" s="177"/>
      <c r="L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77"/>
    </row>
    <row r="870" spans="1:30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J870" s="177"/>
      <c r="K870" s="177"/>
      <c r="L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77"/>
    </row>
    <row r="871" spans="1:30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J871" s="177"/>
      <c r="K871" s="177"/>
      <c r="L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77"/>
    </row>
    <row r="872" spans="1:30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J872" s="177"/>
      <c r="K872" s="177"/>
      <c r="L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77"/>
    </row>
    <row r="873" spans="1:30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J873" s="177"/>
      <c r="K873" s="177"/>
      <c r="L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77"/>
    </row>
    <row r="874" spans="1:30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J874" s="177"/>
      <c r="K874" s="177"/>
      <c r="L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77"/>
    </row>
    <row r="875" spans="1:30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J875" s="177"/>
      <c r="K875" s="177"/>
      <c r="L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77"/>
    </row>
    <row r="876" spans="1:30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J876" s="177"/>
      <c r="K876" s="177"/>
      <c r="L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77"/>
    </row>
    <row r="877" spans="1:30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J877" s="177"/>
      <c r="K877" s="177"/>
      <c r="L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77"/>
    </row>
    <row r="878" spans="1:30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J878" s="177"/>
      <c r="K878" s="177"/>
      <c r="L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77"/>
    </row>
    <row r="879" spans="1:30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J879" s="177"/>
      <c r="K879" s="177"/>
      <c r="L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77"/>
    </row>
    <row r="880" spans="1:30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J880" s="177"/>
      <c r="K880" s="177"/>
      <c r="L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77"/>
    </row>
    <row r="881" spans="1:30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J881" s="177"/>
      <c r="K881" s="177"/>
      <c r="L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77"/>
    </row>
    <row r="882" spans="1:30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J882" s="177"/>
      <c r="K882" s="177"/>
      <c r="L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77"/>
    </row>
    <row r="883" spans="1:30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J883" s="177"/>
      <c r="K883" s="177"/>
      <c r="L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77"/>
    </row>
    <row r="884" spans="1:30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J884" s="177"/>
      <c r="K884" s="177"/>
      <c r="L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77"/>
    </row>
    <row r="885" spans="1:30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J885" s="177"/>
      <c r="K885" s="177"/>
      <c r="L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77"/>
    </row>
    <row r="886" spans="1:30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J886" s="177"/>
      <c r="K886" s="177"/>
      <c r="L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77"/>
    </row>
    <row r="887" spans="1:30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J887" s="177"/>
      <c r="K887" s="177"/>
      <c r="L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77"/>
    </row>
    <row r="888" spans="1:30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J888" s="177"/>
      <c r="K888" s="177"/>
      <c r="L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77"/>
    </row>
    <row r="889" spans="1:30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J889" s="177"/>
      <c r="K889" s="177"/>
      <c r="L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77"/>
    </row>
    <row r="890" spans="1:30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J890" s="177"/>
      <c r="K890" s="177"/>
      <c r="L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77"/>
    </row>
    <row r="891" spans="1:30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J891" s="177"/>
      <c r="K891" s="177"/>
      <c r="L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77"/>
    </row>
    <row r="892" spans="1:30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J892" s="177"/>
      <c r="K892" s="177"/>
      <c r="L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77"/>
    </row>
    <row r="893" spans="1:30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J893" s="177"/>
      <c r="K893" s="177"/>
      <c r="L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77"/>
    </row>
    <row r="894" spans="1:30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J894" s="177"/>
      <c r="K894" s="177"/>
      <c r="L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77"/>
    </row>
    <row r="895" spans="1:30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J895" s="177"/>
      <c r="K895" s="177"/>
      <c r="L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77"/>
    </row>
    <row r="896" spans="1:30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J896" s="177"/>
      <c r="K896" s="177"/>
      <c r="L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77"/>
    </row>
    <row r="897" spans="1:30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J897" s="177"/>
      <c r="K897" s="177"/>
      <c r="L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77"/>
    </row>
    <row r="898" spans="1:30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J898" s="177"/>
      <c r="K898" s="177"/>
      <c r="L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77"/>
    </row>
    <row r="899" spans="1:30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J899" s="177"/>
      <c r="K899" s="177"/>
      <c r="L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77"/>
    </row>
    <row r="900" spans="1:30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J900" s="177"/>
      <c r="K900" s="177"/>
      <c r="L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77"/>
    </row>
    <row r="901" spans="1:30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J901" s="177"/>
      <c r="K901" s="177"/>
      <c r="L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77"/>
    </row>
    <row r="902" spans="1:30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J902" s="177"/>
      <c r="K902" s="177"/>
      <c r="L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77"/>
    </row>
    <row r="903" spans="1:30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J903" s="177"/>
      <c r="K903" s="177"/>
      <c r="L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77"/>
    </row>
    <row r="904" spans="1:30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J904" s="177"/>
      <c r="K904" s="177"/>
      <c r="L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  <c r="AA904" s="177"/>
      <c r="AB904" s="177"/>
      <c r="AC904" s="177"/>
      <c r="AD904" s="177"/>
    </row>
    <row r="905" spans="1:30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J905" s="177"/>
      <c r="K905" s="177"/>
      <c r="L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  <c r="AA905" s="177"/>
      <c r="AB905" s="177"/>
      <c r="AC905" s="177"/>
      <c r="AD905" s="177"/>
    </row>
    <row r="906" spans="1:30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J906" s="177"/>
      <c r="K906" s="177"/>
      <c r="L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  <c r="AA906" s="177"/>
      <c r="AB906" s="177"/>
      <c r="AC906" s="177"/>
      <c r="AD906" s="177"/>
    </row>
    <row r="907" spans="1:30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J907" s="177"/>
      <c r="K907" s="177"/>
      <c r="L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  <c r="AA907" s="177"/>
      <c r="AB907" s="177"/>
      <c r="AC907" s="177"/>
      <c r="AD907" s="177"/>
    </row>
    <row r="908" spans="1:30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J908" s="177"/>
      <c r="K908" s="177"/>
      <c r="L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  <c r="AA908" s="177"/>
      <c r="AB908" s="177"/>
      <c r="AC908" s="177"/>
      <c r="AD908" s="177"/>
    </row>
    <row r="909" spans="1:30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J909" s="177"/>
      <c r="K909" s="177"/>
      <c r="L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  <c r="AA909" s="177"/>
      <c r="AB909" s="177"/>
      <c r="AC909" s="177"/>
      <c r="AD909" s="177"/>
    </row>
    <row r="910" spans="1:30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J910" s="177"/>
      <c r="K910" s="177"/>
      <c r="L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  <c r="AA910" s="177"/>
      <c r="AB910" s="177"/>
      <c r="AC910" s="177"/>
      <c r="AD910" s="177"/>
    </row>
    <row r="911" spans="1:30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J911" s="177"/>
      <c r="K911" s="177"/>
      <c r="L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  <c r="AA911" s="177"/>
      <c r="AB911" s="177"/>
      <c r="AC911" s="177"/>
      <c r="AD911" s="177"/>
    </row>
    <row r="912" spans="1:30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J912" s="177"/>
      <c r="K912" s="177"/>
      <c r="L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  <c r="AA912" s="177"/>
      <c r="AB912" s="177"/>
      <c r="AC912" s="177"/>
      <c r="AD912" s="177"/>
    </row>
    <row r="913" spans="1:30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J913" s="177"/>
      <c r="K913" s="177"/>
      <c r="L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  <c r="AA913" s="177"/>
      <c r="AB913" s="177"/>
      <c r="AC913" s="177"/>
      <c r="AD913" s="177"/>
    </row>
    <row r="914" spans="1:30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J914" s="177"/>
      <c r="K914" s="177"/>
      <c r="L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77"/>
    </row>
    <row r="915" spans="1:30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J915" s="177"/>
      <c r="K915" s="177"/>
      <c r="L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77"/>
    </row>
    <row r="916" spans="1:30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J916" s="177"/>
      <c r="K916" s="177"/>
      <c r="L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77"/>
    </row>
    <row r="917" spans="1:30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J917" s="177"/>
      <c r="K917" s="177"/>
      <c r="L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77"/>
    </row>
    <row r="918" spans="1:30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J918" s="177"/>
      <c r="K918" s="177"/>
      <c r="L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77"/>
    </row>
    <row r="919" spans="1:30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J919" s="177"/>
      <c r="K919" s="177"/>
      <c r="L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77"/>
    </row>
    <row r="920" spans="1:30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J920" s="177"/>
      <c r="K920" s="177"/>
      <c r="L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77"/>
    </row>
    <row r="921" spans="1:30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J921" s="177"/>
      <c r="K921" s="177"/>
      <c r="L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77"/>
    </row>
    <row r="922" spans="1:30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J922" s="177"/>
      <c r="K922" s="177"/>
      <c r="L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77"/>
    </row>
    <row r="923" spans="1:30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J923" s="177"/>
      <c r="K923" s="177"/>
      <c r="L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77"/>
    </row>
    <row r="924" spans="1:30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J924" s="177"/>
      <c r="K924" s="177"/>
      <c r="L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77"/>
    </row>
    <row r="925" spans="1:30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J925" s="177"/>
      <c r="K925" s="177"/>
      <c r="L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77"/>
    </row>
    <row r="926" spans="1:30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J926" s="177"/>
      <c r="K926" s="177"/>
      <c r="L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77"/>
    </row>
    <row r="927" spans="1:30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J927" s="177"/>
      <c r="K927" s="177"/>
      <c r="L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77"/>
    </row>
    <row r="928" spans="1:30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J928" s="177"/>
      <c r="K928" s="177"/>
      <c r="L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77"/>
    </row>
    <row r="929" spans="1:30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J929" s="177"/>
      <c r="K929" s="177"/>
      <c r="L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77"/>
    </row>
    <row r="930" spans="1:30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J930" s="177"/>
      <c r="K930" s="177"/>
      <c r="L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77"/>
    </row>
    <row r="931" spans="1:30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J931" s="177"/>
      <c r="K931" s="177"/>
      <c r="L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</row>
    <row r="932" spans="1:30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J932" s="177"/>
      <c r="K932" s="177"/>
      <c r="L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</row>
    <row r="933" spans="1:30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J933" s="177"/>
      <c r="K933" s="177"/>
      <c r="L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</row>
    <row r="934" spans="1:30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J934" s="177"/>
      <c r="K934" s="177"/>
      <c r="L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</row>
    <row r="935" spans="1:30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J935" s="177"/>
      <c r="K935" s="177"/>
      <c r="L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</row>
    <row r="936" spans="1:30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J936" s="177"/>
      <c r="K936" s="177"/>
      <c r="L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</row>
    <row r="937" spans="1:30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J937" s="177"/>
      <c r="K937" s="177"/>
      <c r="L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77"/>
    </row>
    <row r="938" spans="1:30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J938" s="177"/>
      <c r="K938" s="177"/>
      <c r="L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77"/>
    </row>
    <row r="939" spans="1:30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J939" s="177"/>
      <c r="K939" s="177"/>
      <c r="L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77"/>
    </row>
    <row r="940" spans="1:30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J940" s="177"/>
      <c r="K940" s="177"/>
      <c r="L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77"/>
    </row>
    <row r="941" spans="1:30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J941" s="177"/>
      <c r="K941" s="177"/>
      <c r="L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77"/>
    </row>
    <row r="942" spans="1:30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J942" s="177"/>
      <c r="K942" s="177"/>
      <c r="L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77"/>
    </row>
    <row r="943" spans="1:30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J943" s="177"/>
      <c r="K943" s="177"/>
      <c r="L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77"/>
    </row>
    <row r="944" spans="1:30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J944" s="177"/>
      <c r="K944" s="177"/>
      <c r="L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77"/>
    </row>
    <row r="945" spans="1:30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J945" s="177"/>
      <c r="K945" s="177"/>
      <c r="L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77"/>
    </row>
    <row r="946" spans="1:30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J946" s="177"/>
      <c r="K946" s="177"/>
      <c r="L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77"/>
    </row>
    <row r="947" spans="1:30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J947" s="177"/>
      <c r="K947" s="177"/>
      <c r="L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77"/>
    </row>
    <row r="948" spans="1:30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J948" s="177"/>
      <c r="K948" s="177"/>
      <c r="L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77"/>
    </row>
    <row r="949" spans="1:30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J949" s="177"/>
      <c r="K949" s="177"/>
      <c r="L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77"/>
    </row>
    <row r="950" spans="1:30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J950" s="177"/>
      <c r="K950" s="177"/>
      <c r="L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77"/>
    </row>
    <row r="951" spans="1:30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J951" s="177"/>
      <c r="K951" s="177"/>
      <c r="L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77"/>
    </row>
    <row r="952" spans="1:30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J952" s="177"/>
      <c r="K952" s="177"/>
      <c r="L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77"/>
    </row>
    <row r="953" spans="1:30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J953" s="177"/>
      <c r="K953" s="177"/>
      <c r="L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77"/>
    </row>
    <row r="954" spans="1:30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J954" s="177"/>
      <c r="K954" s="177"/>
      <c r="L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77"/>
    </row>
    <row r="955" spans="1:30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J955" s="177"/>
      <c r="K955" s="177"/>
      <c r="L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77"/>
    </row>
    <row r="956" spans="1:30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J956" s="177"/>
      <c r="K956" s="177"/>
      <c r="L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77"/>
    </row>
    <row r="957" spans="1:30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J957" s="177"/>
      <c r="K957" s="177"/>
      <c r="L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77"/>
    </row>
    <row r="958" spans="1:30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J958" s="177"/>
      <c r="K958" s="177"/>
      <c r="L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77"/>
    </row>
    <row r="959" spans="1:30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J959" s="177"/>
      <c r="K959" s="177"/>
      <c r="L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77"/>
    </row>
    <row r="960" spans="1:30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J960" s="177"/>
      <c r="K960" s="177"/>
      <c r="L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77"/>
    </row>
    <row r="961" spans="1:30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J961" s="177"/>
      <c r="K961" s="177"/>
      <c r="L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77"/>
    </row>
    <row r="962" spans="1:30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J962" s="177"/>
      <c r="K962" s="177"/>
      <c r="L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77"/>
    </row>
    <row r="963" spans="1:30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J963" s="177"/>
      <c r="K963" s="177"/>
      <c r="L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77"/>
    </row>
    <row r="964" spans="1:30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J964" s="177"/>
      <c r="K964" s="177"/>
      <c r="L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</row>
    <row r="965" spans="1:30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J965" s="177"/>
      <c r="K965" s="177"/>
      <c r="L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77"/>
    </row>
    <row r="966" spans="1:30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J966" s="177"/>
      <c r="K966" s="177"/>
      <c r="L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77"/>
    </row>
    <row r="967" spans="1:30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J967" s="177"/>
      <c r="K967" s="177"/>
      <c r="L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77"/>
    </row>
    <row r="968" spans="1:30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J968" s="177"/>
      <c r="K968" s="177"/>
      <c r="L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77"/>
    </row>
    <row r="969" spans="1:30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J969" s="177"/>
      <c r="K969" s="177"/>
      <c r="L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77"/>
    </row>
    <row r="970" spans="1:30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J970" s="177"/>
      <c r="K970" s="177"/>
      <c r="L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77"/>
    </row>
    <row r="971" spans="1:30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J971" s="177"/>
      <c r="K971" s="177"/>
      <c r="L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77"/>
    </row>
    <row r="972" spans="1:30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J972" s="177"/>
      <c r="K972" s="177"/>
      <c r="L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77"/>
    </row>
    <row r="973" spans="1:30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J973" s="177"/>
      <c r="K973" s="177"/>
      <c r="L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77"/>
    </row>
    <row r="974" spans="1:30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J974" s="177"/>
      <c r="K974" s="177"/>
      <c r="L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77"/>
    </row>
    <row r="975" spans="1:30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J975" s="177"/>
      <c r="K975" s="177"/>
      <c r="L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77"/>
    </row>
    <row r="976" spans="1:30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J976" s="177"/>
      <c r="K976" s="177"/>
      <c r="L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</row>
    <row r="977" spans="1:30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J977" s="177"/>
      <c r="K977" s="177"/>
      <c r="L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77"/>
    </row>
    <row r="978" spans="1:30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J978" s="177"/>
      <c r="K978" s="177"/>
      <c r="L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77"/>
    </row>
    <row r="979" spans="1:30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J979" s="177"/>
      <c r="K979" s="177"/>
      <c r="L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77"/>
    </row>
    <row r="980" spans="1:30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J980" s="177"/>
      <c r="K980" s="177"/>
      <c r="L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77"/>
    </row>
    <row r="981" spans="1:30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J981" s="177"/>
      <c r="K981" s="177"/>
      <c r="L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77"/>
    </row>
    <row r="982" spans="1:30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J982" s="177"/>
      <c r="K982" s="177"/>
      <c r="L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77"/>
    </row>
    <row r="983" spans="1:30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J983" s="177"/>
      <c r="K983" s="177"/>
      <c r="L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77"/>
    </row>
    <row r="984" spans="1:30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J984" s="177"/>
      <c r="K984" s="177"/>
      <c r="L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77"/>
    </row>
    <row r="985" spans="1:30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J985" s="177"/>
      <c r="K985" s="177"/>
      <c r="L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77"/>
    </row>
    <row r="986" spans="1:30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J986" s="177"/>
      <c r="K986" s="177"/>
      <c r="L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77"/>
    </row>
    <row r="987" spans="1:30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J987" s="177"/>
      <c r="K987" s="177"/>
      <c r="L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77"/>
    </row>
    <row r="988" spans="1:30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J988" s="177"/>
      <c r="K988" s="177"/>
      <c r="L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  <c r="AA988" s="177"/>
      <c r="AB988" s="177"/>
      <c r="AC988" s="177"/>
      <c r="AD988" s="177"/>
    </row>
    <row r="989" spans="1:30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J989" s="177"/>
      <c r="K989" s="177"/>
      <c r="L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77"/>
    </row>
    <row r="990" spans="1:30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J990" s="177"/>
      <c r="K990" s="177"/>
      <c r="L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77"/>
    </row>
    <row r="991" spans="1:30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J991" s="177"/>
      <c r="K991" s="177"/>
      <c r="L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77"/>
    </row>
    <row r="992" spans="1:30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J992" s="177"/>
      <c r="K992" s="177"/>
      <c r="L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77"/>
    </row>
    <row r="993" spans="1:30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J993" s="177"/>
      <c r="K993" s="177"/>
      <c r="L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77"/>
    </row>
    <row r="994" spans="1:30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J994" s="177"/>
      <c r="K994" s="177"/>
      <c r="L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77"/>
    </row>
    <row r="995" spans="1:30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J995" s="177"/>
      <c r="K995" s="177"/>
      <c r="L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77"/>
    </row>
    <row r="996" spans="1:30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J996" s="177"/>
      <c r="K996" s="177"/>
      <c r="L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77"/>
    </row>
    <row r="997" spans="1:30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J997" s="177"/>
      <c r="K997" s="177"/>
      <c r="L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77"/>
    </row>
    <row r="998" spans="1:30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J998" s="177"/>
      <c r="K998" s="177"/>
      <c r="L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77"/>
    </row>
    <row r="999" spans="1:30" ht="15.75" customHeight="1">
      <c r="A999" s="177"/>
      <c r="B999" s="177"/>
      <c r="C999" s="177"/>
      <c r="D999" s="177"/>
      <c r="E999" s="177"/>
      <c r="F999" s="177"/>
      <c r="G999" s="177"/>
      <c r="H999" s="177"/>
      <c r="I999" s="177"/>
      <c r="J999" s="177"/>
      <c r="K999" s="177"/>
      <c r="L999" s="177"/>
      <c r="M999" s="177"/>
      <c r="N999" s="177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77"/>
      <c r="Z999" s="177"/>
      <c r="AA999" s="177"/>
      <c r="AB999" s="177"/>
      <c r="AC999" s="177"/>
      <c r="AD999" s="177"/>
    </row>
    <row r="1000" spans="1:30" ht="15.75" customHeight="1">
      <c r="A1000" s="177"/>
      <c r="B1000" s="177"/>
      <c r="C1000" s="177"/>
      <c r="D1000" s="177"/>
      <c r="E1000" s="177"/>
      <c r="F1000" s="177"/>
      <c r="G1000" s="177"/>
      <c r="H1000" s="177"/>
      <c r="I1000" s="177"/>
      <c r="J1000" s="177"/>
      <c r="K1000" s="177"/>
      <c r="L1000" s="177"/>
      <c r="M1000" s="177"/>
      <c r="N1000" s="177"/>
      <c r="O1000" s="177"/>
      <c r="P1000" s="177"/>
      <c r="Q1000" s="177"/>
      <c r="R1000" s="177"/>
      <c r="S1000" s="177"/>
      <c r="T1000" s="177"/>
      <c r="U1000" s="177"/>
      <c r="V1000" s="177"/>
      <c r="W1000" s="177"/>
      <c r="X1000" s="177"/>
      <c r="Y1000" s="177"/>
      <c r="Z1000" s="177"/>
      <c r="AA1000" s="177"/>
      <c r="AB1000" s="177"/>
      <c r="AC1000" s="177"/>
      <c r="AD1000" s="177"/>
    </row>
  </sheetData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T1000"/>
  <sheetViews>
    <sheetView topLeftCell="A59" workbookViewId="0">
      <selection activeCell="J35" sqref="J35"/>
    </sheetView>
  </sheetViews>
  <sheetFormatPr defaultColWidth="14.453125" defaultRowHeight="15" customHeight="1"/>
  <cols>
    <col min="1" max="4" width="3.7265625" customWidth="1"/>
    <col min="5" max="5" width="40.26953125" customWidth="1"/>
    <col min="6" max="6" width="18.7265625" customWidth="1"/>
    <col min="7" max="7" width="10.7265625" customWidth="1"/>
    <col min="8" max="8" width="2.7265625" customWidth="1"/>
    <col min="9" max="9" width="18.7265625" customWidth="1"/>
    <col min="10" max="10" width="10.7265625" customWidth="1"/>
    <col min="11" max="11" width="2.7265625" customWidth="1"/>
    <col min="12" max="12" width="18.7265625" customWidth="1"/>
    <col min="13" max="13" width="10.7265625" customWidth="1"/>
    <col min="14" max="14" width="2.7265625" customWidth="1"/>
    <col min="15" max="15" width="18.7265625" customWidth="1"/>
    <col min="16" max="16" width="10.7265625" customWidth="1"/>
    <col min="17" max="17" width="2.7265625" customWidth="1"/>
    <col min="18" max="18" width="18.7265625" customWidth="1"/>
    <col min="19" max="19" width="10.7265625" customWidth="1"/>
    <col min="20" max="20" width="2.7265625" customWidth="1"/>
    <col min="21" max="26" width="17.26953125" customWidth="1"/>
  </cols>
  <sheetData>
    <row r="1" spans="1:20" ht="14.5">
      <c r="A1" s="1" t="str">
        <f>Assumptions!A1</f>
        <v>Central Brewing Company</v>
      </c>
      <c r="B1" s="2"/>
      <c r="C1" s="2"/>
      <c r="D1" s="2"/>
      <c r="E1" s="2"/>
      <c r="F1" s="2"/>
      <c r="G1" s="2"/>
      <c r="H1" s="2"/>
      <c r="I1" s="3"/>
      <c r="J1" s="4"/>
      <c r="K1" s="2"/>
      <c r="L1" s="3"/>
      <c r="M1" s="5"/>
      <c r="N1" s="2"/>
      <c r="O1" s="3"/>
      <c r="P1" s="5"/>
      <c r="Q1" s="2"/>
      <c r="R1" s="3"/>
      <c r="S1" s="5"/>
      <c r="T1" s="2"/>
    </row>
    <row r="2" spans="1:20" ht="14.5">
      <c r="A2" s="1" t="s">
        <v>0</v>
      </c>
      <c r="B2" s="2"/>
      <c r="C2" s="2"/>
      <c r="D2" s="2"/>
      <c r="E2" s="2"/>
      <c r="F2" s="2"/>
      <c r="G2" s="2"/>
      <c r="H2" s="2"/>
      <c r="I2" s="3"/>
      <c r="J2" s="4"/>
      <c r="K2" s="2"/>
      <c r="L2" s="3"/>
      <c r="M2" s="5"/>
      <c r="N2" s="2"/>
      <c r="O2" s="3"/>
      <c r="P2" s="5"/>
      <c r="Q2" s="2"/>
      <c r="R2" s="3"/>
      <c r="S2" s="5"/>
      <c r="T2" s="2"/>
    </row>
    <row r="3" spans="1:20" ht="15.75" customHeight="1">
      <c r="A3" s="6" t="s">
        <v>1</v>
      </c>
      <c r="B3" s="7"/>
      <c r="C3" s="7"/>
      <c r="D3" s="7"/>
      <c r="E3" s="7"/>
      <c r="F3" s="7"/>
      <c r="G3" s="7"/>
      <c r="H3" s="7"/>
      <c r="I3" s="8"/>
      <c r="J3" s="9"/>
      <c r="K3" s="7"/>
      <c r="L3" s="8"/>
      <c r="M3" s="10"/>
      <c r="N3" s="2"/>
      <c r="O3" s="8"/>
      <c r="P3" s="10"/>
      <c r="Q3" s="2"/>
      <c r="R3" s="8"/>
      <c r="S3" s="10"/>
      <c r="T3" s="2"/>
    </row>
    <row r="4" spans="1:20" ht="14.5">
      <c r="A4" s="11"/>
      <c r="B4" s="11"/>
      <c r="C4" s="11"/>
      <c r="D4" s="11"/>
      <c r="E4" s="11"/>
      <c r="F4" s="12" t="s">
        <v>2</v>
      </c>
      <c r="G4" s="1"/>
      <c r="H4" s="1"/>
      <c r="I4" s="13" t="s">
        <v>3</v>
      </c>
      <c r="J4" s="14"/>
      <c r="K4" s="1"/>
      <c r="L4" s="13" t="s">
        <v>4</v>
      </c>
      <c r="M4" s="15"/>
      <c r="N4" s="1"/>
      <c r="O4" s="13" t="s">
        <v>5</v>
      </c>
      <c r="P4" s="15"/>
      <c r="Q4" s="1"/>
      <c r="R4" s="13" t="s">
        <v>6</v>
      </c>
      <c r="S4" s="15"/>
      <c r="T4" s="1"/>
    </row>
    <row r="5" spans="1:20" ht="14.5">
      <c r="A5" s="1" t="s">
        <v>7</v>
      </c>
      <c r="B5" s="2"/>
      <c r="C5" s="2"/>
      <c r="D5" s="2"/>
      <c r="E5" s="2"/>
      <c r="F5" s="2"/>
      <c r="G5" s="2"/>
      <c r="H5" s="2"/>
      <c r="I5" s="3"/>
      <c r="J5" s="4"/>
      <c r="K5" s="2"/>
      <c r="L5" s="3"/>
      <c r="M5" s="5"/>
      <c r="N5" s="2"/>
      <c r="O5" s="3"/>
      <c r="P5" s="5"/>
      <c r="Q5" s="2"/>
      <c r="R5" s="3"/>
      <c r="S5" s="5"/>
      <c r="T5" s="2"/>
    </row>
    <row r="6" spans="1:20" ht="14.5">
      <c r="A6" s="2"/>
      <c r="B6" s="1" t="s">
        <v>8</v>
      </c>
      <c r="C6" s="16"/>
      <c r="D6" s="16"/>
      <c r="E6" s="16"/>
      <c r="F6" s="3"/>
      <c r="G6" s="2"/>
      <c r="H6" s="2"/>
      <c r="I6" s="3"/>
      <c r="J6" s="4"/>
      <c r="K6" s="2"/>
      <c r="L6" s="3"/>
      <c r="M6" s="5"/>
      <c r="N6" s="2"/>
      <c r="O6" s="3"/>
      <c r="P6" s="5"/>
      <c r="Q6" s="2"/>
      <c r="R6" s="3"/>
      <c r="S6" s="5"/>
      <c r="T6" s="2"/>
    </row>
    <row r="7" spans="1:20" ht="14.5">
      <c r="A7" s="2"/>
      <c r="B7" s="2"/>
      <c r="C7" s="2" t="s">
        <v>9</v>
      </c>
      <c r="D7" s="2"/>
      <c r="E7" s="2"/>
      <c r="F7" s="3">
        <f>SOFP!Q8</f>
        <v>108050.26959009962</v>
      </c>
      <c r="G7" s="2"/>
      <c r="H7" s="2"/>
      <c r="I7" s="3">
        <f>SOFP!AD8</f>
        <v>92762.340008063649</v>
      </c>
      <c r="J7" s="4"/>
      <c r="K7" s="2"/>
      <c r="L7" s="3">
        <f>SOFP!AQ8</f>
        <v>97887.69370693255</v>
      </c>
      <c r="M7" s="5"/>
      <c r="N7" s="2"/>
      <c r="O7" s="3">
        <f>SOFP!BD8</f>
        <v>104885.82821279501</v>
      </c>
      <c r="P7" s="5"/>
      <c r="Q7" s="2"/>
      <c r="R7" s="3">
        <f>SOFP!BQ8</f>
        <v>107187.40289878829</v>
      </c>
      <c r="S7" s="5"/>
      <c r="T7" s="2"/>
    </row>
    <row r="8" spans="1:20" ht="14.5">
      <c r="A8" s="2"/>
      <c r="B8" s="2"/>
      <c r="C8" s="2" t="s">
        <v>10</v>
      </c>
      <c r="D8" s="2"/>
      <c r="E8" s="2"/>
      <c r="F8" s="3">
        <f>SOFP!Q9</f>
        <v>1006.9419086621546</v>
      </c>
      <c r="G8" s="2"/>
      <c r="H8" s="2"/>
      <c r="I8" s="3">
        <f>SOFP!AD9</f>
        <v>1063.6290087053571</v>
      </c>
      <c r="J8" s="4"/>
      <c r="K8" s="2"/>
      <c r="L8" s="3">
        <f>SOFP!AQ9</f>
        <v>1216.7915859589289</v>
      </c>
      <c r="M8" s="5"/>
      <c r="N8" s="2"/>
      <c r="O8" s="3">
        <f>SOFP!BD9</f>
        <v>1277.6311652568754</v>
      </c>
      <c r="P8" s="5"/>
      <c r="Q8" s="2"/>
      <c r="R8" s="3">
        <f>SOFP!BQ9</f>
        <v>1395.1732324605077</v>
      </c>
      <c r="S8" s="5"/>
      <c r="T8" s="2"/>
    </row>
    <row r="9" spans="1:20" ht="14.5">
      <c r="A9" s="2"/>
      <c r="B9" s="2"/>
      <c r="C9" s="2" t="s">
        <v>11</v>
      </c>
      <c r="D9" s="2"/>
      <c r="E9" s="2"/>
      <c r="F9" s="3"/>
      <c r="G9" s="2"/>
      <c r="H9" s="2"/>
      <c r="I9" s="3"/>
      <c r="J9" s="4"/>
      <c r="K9" s="2"/>
      <c r="L9" s="3"/>
      <c r="M9" s="5"/>
      <c r="N9" s="2"/>
      <c r="O9" s="3"/>
      <c r="P9" s="5"/>
      <c r="Q9" s="2"/>
      <c r="R9" s="3"/>
      <c r="S9" s="5"/>
      <c r="T9" s="2"/>
    </row>
    <row r="10" spans="1:20" ht="14.5">
      <c r="A10" s="2"/>
      <c r="B10" s="2"/>
      <c r="C10" s="2"/>
      <c r="D10" s="2" t="s">
        <v>571</v>
      </c>
      <c r="E10" s="2"/>
      <c r="F10" s="3">
        <f>SOFP!Q11</f>
        <v>1990.3211815921309</v>
      </c>
      <c r="G10" s="2"/>
      <c r="H10" s="2"/>
      <c r="I10" s="3">
        <f>SOFP!AD11</f>
        <v>2233.1403657463711</v>
      </c>
      <c r="J10" s="4"/>
      <c r="K10" s="2"/>
      <c r="L10" s="3">
        <f>SOFP!AQ11</f>
        <v>2391.6933317143635</v>
      </c>
      <c r="M10" s="5"/>
      <c r="N10" s="2"/>
      <c r="O10" s="3">
        <f>SOFP!BD11</f>
        <v>2561.5035582660835</v>
      </c>
      <c r="P10" s="5"/>
      <c r="Q10" s="2"/>
      <c r="R10" s="3">
        <f>SOFP!BQ11</f>
        <v>3212.4039567635336</v>
      </c>
      <c r="S10" s="5"/>
      <c r="T10" s="2"/>
    </row>
    <row r="11" spans="1:20" ht="14.5">
      <c r="A11" s="2"/>
      <c r="B11" s="2"/>
      <c r="C11" s="2"/>
      <c r="D11" s="2" t="s">
        <v>549</v>
      </c>
      <c r="E11" s="2"/>
      <c r="F11" s="3">
        <f>SOFP!Q12</f>
        <v>9672</v>
      </c>
      <c r="G11" s="2"/>
      <c r="H11" s="2"/>
      <c r="I11" s="3">
        <f>SOFP!AD12</f>
        <v>11122.8</v>
      </c>
      <c r="J11" s="4"/>
      <c r="K11" s="2"/>
      <c r="L11" s="3">
        <f>SOFP!AQ12</f>
        <v>12724.483200000001</v>
      </c>
      <c r="M11" s="5"/>
      <c r="N11" s="2"/>
      <c r="O11" s="3">
        <f>SOFP!BD12</f>
        <v>13360.70736</v>
      </c>
      <c r="P11" s="5"/>
      <c r="Q11" s="2"/>
      <c r="R11" s="3">
        <f>SOFP!BQ12</f>
        <v>14589.892437120001</v>
      </c>
      <c r="S11" s="5"/>
      <c r="T11" s="2"/>
    </row>
    <row r="12" spans="1:20" ht="14.5">
      <c r="A12" s="2"/>
      <c r="B12" s="2"/>
      <c r="C12" s="2"/>
      <c r="D12" s="2" t="s">
        <v>551</v>
      </c>
      <c r="E12" s="2"/>
      <c r="F12" s="3">
        <f>SOFP!Q13</f>
        <v>1097.9945357142856</v>
      </c>
      <c r="G12" s="2"/>
      <c r="H12" s="2"/>
      <c r="I12" s="3">
        <f>SOFP!AD13</f>
        <v>1256.1057488571428</v>
      </c>
      <c r="J12" s="4"/>
      <c r="K12" s="2"/>
      <c r="L12" s="3">
        <f>SOFP!AQ13</f>
        <v>1318.9110363</v>
      </c>
      <c r="M12" s="5"/>
      <c r="N12" s="2"/>
      <c r="O12" s="3">
        <f>SOFP!BD13</f>
        <v>1440.2508516396001</v>
      </c>
      <c r="P12" s="5"/>
      <c r="Q12" s="2"/>
      <c r="R12" s="3">
        <f>SOFP!BQ13</f>
        <v>1920.3344688528007</v>
      </c>
      <c r="S12" s="5"/>
      <c r="T12" s="2"/>
    </row>
    <row r="13" spans="1:20" ht="14.5">
      <c r="A13" s="17"/>
      <c r="B13" s="17"/>
      <c r="C13" s="17" t="s">
        <v>12</v>
      </c>
      <c r="D13" s="17"/>
      <c r="E13" s="17"/>
      <c r="F13" s="3">
        <f>SOFP!Q14</f>
        <v>0</v>
      </c>
      <c r="G13" s="2"/>
      <c r="H13" s="2"/>
      <c r="I13" s="3">
        <f>SOFP!AD14</f>
        <v>0</v>
      </c>
      <c r="J13" s="4"/>
      <c r="K13" s="2"/>
      <c r="L13" s="3">
        <f>SOFP!AQ14</f>
        <v>0</v>
      </c>
      <c r="M13" s="5"/>
      <c r="N13" s="2"/>
      <c r="O13" s="3">
        <f>SOFP!BD14</f>
        <v>0</v>
      </c>
      <c r="P13" s="5"/>
      <c r="Q13" s="2"/>
      <c r="R13" s="3">
        <f>SOFP!BQ14</f>
        <v>0</v>
      </c>
      <c r="S13" s="5"/>
      <c r="T13" s="2"/>
    </row>
    <row r="14" spans="1:20" ht="14.5">
      <c r="A14" s="2"/>
      <c r="B14" s="2"/>
      <c r="C14" s="2"/>
      <c r="D14" s="2" t="s">
        <v>13</v>
      </c>
      <c r="E14" s="2"/>
      <c r="F14" s="18">
        <f>SUM(F7:F13)</f>
        <v>121817.52721606818</v>
      </c>
      <c r="G14" s="2"/>
      <c r="H14" s="2"/>
      <c r="I14" s="18">
        <f>SUM(I7:I13)</f>
        <v>108438.01513137252</v>
      </c>
      <c r="J14" s="4"/>
      <c r="K14" s="2"/>
      <c r="L14" s="18">
        <f>SUM(L7:L13)</f>
        <v>115539.57286090584</v>
      </c>
      <c r="M14" s="5"/>
      <c r="N14" s="2"/>
      <c r="O14" s="18">
        <f>SUM(O7:O13)</f>
        <v>123525.92114795756</v>
      </c>
      <c r="P14" s="5"/>
      <c r="Q14" s="2"/>
      <c r="R14" s="18">
        <f>SUM(R7:R13)</f>
        <v>128305.20699398514</v>
      </c>
      <c r="S14" s="5"/>
      <c r="T14" s="2"/>
    </row>
    <row r="15" spans="1:20" ht="14.5">
      <c r="A15" s="2"/>
      <c r="B15" s="2"/>
      <c r="C15" s="2"/>
      <c r="D15" s="2"/>
      <c r="E15" s="2"/>
      <c r="F15" s="3"/>
      <c r="G15" s="2"/>
      <c r="H15" s="2"/>
      <c r="I15" s="3"/>
      <c r="J15" s="4"/>
      <c r="K15" s="2"/>
      <c r="L15" s="3"/>
      <c r="M15" s="5"/>
      <c r="N15" s="2"/>
      <c r="O15" s="3"/>
      <c r="P15" s="5"/>
      <c r="Q15" s="2"/>
      <c r="R15" s="3"/>
      <c r="S15" s="5"/>
      <c r="T15" s="2"/>
    </row>
    <row r="16" spans="1:20" ht="14.5">
      <c r="A16" s="2"/>
      <c r="B16" s="2" t="s">
        <v>14</v>
      </c>
      <c r="C16" s="2"/>
      <c r="D16" s="2"/>
      <c r="E16" s="2"/>
      <c r="F16" s="3">
        <f>SOFP!Q17</f>
        <v>227815</v>
      </c>
      <c r="G16" s="2"/>
      <c r="H16" s="2"/>
      <c r="I16" s="3">
        <f>SOFP!AD17</f>
        <v>213355</v>
      </c>
      <c r="J16" s="4"/>
      <c r="K16" s="2"/>
      <c r="L16" s="3">
        <f>SOFP!AQ17</f>
        <v>198895</v>
      </c>
      <c r="M16" s="5"/>
      <c r="N16" s="2"/>
      <c r="O16" s="3">
        <f>SOFP!BD17</f>
        <v>184435</v>
      </c>
      <c r="P16" s="5"/>
      <c r="Q16" s="2"/>
      <c r="R16" s="3">
        <f>SOFP!BQ17</f>
        <v>169975</v>
      </c>
      <c r="S16" s="5"/>
      <c r="T16" s="2"/>
    </row>
    <row r="17" spans="1:20" ht="14.5">
      <c r="A17" s="2"/>
      <c r="B17" s="2"/>
      <c r="C17" s="2"/>
      <c r="D17" s="2"/>
      <c r="E17" s="2"/>
      <c r="F17" s="3"/>
      <c r="G17" s="2"/>
      <c r="H17" s="2"/>
      <c r="I17" s="3"/>
      <c r="J17" s="4"/>
      <c r="K17" s="2"/>
      <c r="L17" s="3"/>
      <c r="M17" s="5"/>
      <c r="N17" s="2"/>
      <c r="O17" s="3"/>
      <c r="P17" s="5"/>
      <c r="Q17" s="2"/>
      <c r="R17" s="3"/>
      <c r="S17" s="5"/>
      <c r="T17" s="2"/>
    </row>
    <row r="18" spans="1:20" ht="14.5">
      <c r="A18" s="2"/>
      <c r="B18" s="2" t="s">
        <v>15</v>
      </c>
      <c r="C18" s="2"/>
      <c r="D18" s="2"/>
      <c r="E18" s="2"/>
      <c r="F18" s="3">
        <f>SOFP!Q19</f>
        <v>0</v>
      </c>
      <c r="G18" s="2"/>
      <c r="H18" s="2"/>
      <c r="I18" s="3">
        <f>SOFP!AD19</f>
        <v>0</v>
      </c>
      <c r="J18" s="4"/>
      <c r="K18" s="2"/>
      <c r="L18" s="3">
        <f>SOFP!AQ19</f>
        <v>0</v>
      </c>
      <c r="M18" s="5"/>
      <c r="N18" s="2"/>
      <c r="O18" s="3">
        <f>SOFP!BD19</f>
        <v>0</v>
      </c>
      <c r="P18" s="5"/>
      <c r="Q18" s="2"/>
      <c r="R18" s="3">
        <f>SOFP!BQ19</f>
        <v>0</v>
      </c>
      <c r="S18" s="5"/>
      <c r="T18" s="2"/>
    </row>
    <row r="19" spans="1:20" ht="14.5">
      <c r="A19" s="2"/>
      <c r="B19" s="2"/>
      <c r="C19" s="2"/>
      <c r="D19" s="2"/>
      <c r="E19" s="2"/>
      <c r="F19" s="3"/>
      <c r="G19" s="2"/>
      <c r="H19" s="2"/>
      <c r="I19" s="3"/>
      <c r="J19" s="4"/>
      <c r="K19" s="2"/>
      <c r="L19" s="3"/>
      <c r="M19" s="5"/>
      <c r="N19" s="2"/>
      <c r="O19" s="3"/>
      <c r="P19" s="5"/>
      <c r="Q19" s="2"/>
      <c r="R19" s="3"/>
      <c r="S19" s="5"/>
      <c r="T19" s="2"/>
    </row>
    <row r="20" spans="1:20" ht="15.75" customHeight="1">
      <c r="A20" s="1" t="s">
        <v>16</v>
      </c>
      <c r="B20" s="1"/>
      <c r="C20" s="1"/>
      <c r="D20" s="16"/>
      <c r="E20" s="16"/>
      <c r="F20" s="19">
        <f>F14+F16+F18</f>
        <v>349632.52721606818</v>
      </c>
      <c r="G20" s="2"/>
      <c r="H20" s="2"/>
      <c r="I20" s="19">
        <f>I14+I16+I18</f>
        <v>321793.01513137249</v>
      </c>
      <c r="J20" s="4"/>
      <c r="K20" s="2"/>
      <c r="L20" s="19">
        <f>L14+L16+L18</f>
        <v>314434.57286090584</v>
      </c>
      <c r="M20" s="5"/>
      <c r="N20" s="2"/>
      <c r="O20" s="19">
        <f>O14+O16+O18</f>
        <v>307960.92114795756</v>
      </c>
      <c r="P20" s="5"/>
      <c r="Q20" s="2"/>
      <c r="R20" s="19">
        <f>R14+R16+R18</f>
        <v>298280.20699398511</v>
      </c>
      <c r="S20" s="5"/>
      <c r="T20" s="2"/>
    </row>
    <row r="21" spans="1:20" ht="15.75" customHeight="1">
      <c r="A21" s="2"/>
      <c r="B21" s="2"/>
      <c r="C21" s="2"/>
      <c r="D21" s="2"/>
      <c r="E21" s="2"/>
      <c r="F21" s="3"/>
      <c r="G21" s="2"/>
      <c r="H21" s="2"/>
      <c r="I21" s="3"/>
      <c r="J21" s="4"/>
      <c r="K21" s="2"/>
      <c r="L21" s="3"/>
      <c r="M21" s="5"/>
      <c r="N21" s="2"/>
      <c r="O21" s="3"/>
      <c r="P21" s="5"/>
      <c r="Q21" s="2"/>
      <c r="R21" s="3"/>
      <c r="S21" s="5"/>
      <c r="T21" s="2"/>
    </row>
    <row r="22" spans="1:20" ht="15.75" customHeight="1">
      <c r="A22" s="16" t="s">
        <v>17</v>
      </c>
      <c r="B22" s="2"/>
      <c r="C22" s="2"/>
      <c r="D22" s="2"/>
      <c r="E22" s="2"/>
      <c r="F22" s="3"/>
      <c r="G22" s="2"/>
      <c r="H22" s="2"/>
      <c r="I22" s="3"/>
      <c r="J22" s="4"/>
      <c r="K22" s="2"/>
      <c r="L22" s="3"/>
      <c r="M22" s="5"/>
      <c r="N22" s="2"/>
      <c r="O22" s="3"/>
      <c r="P22" s="5"/>
      <c r="Q22" s="2"/>
      <c r="R22" s="3"/>
      <c r="S22" s="5"/>
      <c r="T22" s="2"/>
    </row>
    <row r="23" spans="1:20" ht="15.75" customHeight="1">
      <c r="A23" s="20"/>
      <c r="B23" s="16" t="s">
        <v>18</v>
      </c>
      <c r="C23" s="2"/>
      <c r="D23" s="16"/>
      <c r="E23" s="16"/>
      <c r="F23" s="3"/>
      <c r="G23" s="2"/>
      <c r="H23" s="2"/>
      <c r="I23" s="3"/>
      <c r="J23" s="4"/>
      <c r="K23" s="2"/>
      <c r="L23" s="3"/>
      <c r="M23" s="5"/>
      <c r="N23" s="2"/>
      <c r="O23" s="3"/>
      <c r="P23" s="5"/>
      <c r="Q23" s="2"/>
      <c r="R23" s="3"/>
      <c r="S23" s="5"/>
      <c r="T23" s="2"/>
    </row>
    <row r="24" spans="1:20" ht="15.75" customHeight="1">
      <c r="A24" s="2"/>
      <c r="B24" s="2"/>
      <c r="C24" s="2" t="s">
        <v>19</v>
      </c>
      <c r="D24" s="2"/>
      <c r="E24" s="2"/>
      <c r="F24" s="3">
        <f>SOFP!Q25</f>
        <v>63467.961564986923</v>
      </c>
      <c r="G24" s="2"/>
      <c r="H24" s="2"/>
      <c r="I24" s="3">
        <f>SOFP!AD25</f>
        <v>68495.181177166902</v>
      </c>
      <c r="J24" s="4"/>
      <c r="K24" s="2"/>
      <c r="L24" s="3">
        <f>SOFP!AQ25</f>
        <v>73626.739945093315</v>
      </c>
      <c r="M24" s="5"/>
      <c r="N24" s="2"/>
      <c r="O24" s="3">
        <f>SOFP!BD25</f>
        <v>76343.321341163537</v>
      </c>
      <c r="P24" s="5"/>
      <c r="Q24" s="2"/>
      <c r="R24" s="3">
        <f>SOFP!BQ25</f>
        <v>82047.148616842765</v>
      </c>
      <c r="S24" s="5"/>
      <c r="T24" s="2"/>
    </row>
    <row r="25" spans="1:20" ht="15.75" customHeight="1">
      <c r="A25" s="2"/>
      <c r="B25" s="2"/>
      <c r="C25" s="2" t="s">
        <v>20</v>
      </c>
      <c r="D25" s="2"/>
      <c r="E25" s="2"/>
      <c r="F25" s="3">
        <f>SOFP!Q26</f>
        <v>0</v>
      </c>
      <c r="G25" s="2"/>
      <c r="H25" s="2"/>
      <c r="I25" s="3">
        <f>SOFP!AD26</f>
        <v>0</v>
      </c>
      <c r="J25" s="4"/>
      <c r="K25" s="2"/>
      <c r="L25" s="3">
        <f>SOFP!AQ26</f>
        <v>0</v>
      </c>
      <c r="M25" s="5"/>
      <c r="N25" s="2"/>
      <c r="O25" s="3">
        <f>SOFP!BD26</f>
        <v>0</v>
      </c>
      <c r="P25" s="5"/>
      <c r="Q25" s="2"/>
      <c r="R25" s="3">
        <f>SOFP!BQ26</f>
        <v>0</v>
      </c>
      <c r="S25" s="5"/>
      <c r="T25" s="2"/>
    </row>
    <row r="26" spans="1:20" ht="15.75" customHeight="1">
      <c r="A26" s="2"/>
      <c r="B26" s="2"/>
      <c r="C26" s="2" t="s">
        <v>21</v>
      </c>
      <c r="D26" s="2"/>
      <c r="E26" s="2"/>
      <c r="F26" s="3">
        <f>SOFP!Q27</f>
        <v>0</v>
      </c>
      <c r="G26" s="2"/>
      <c r="H26" s="2"/>
      <c r="I26" s="3">
        <f>SOFP!AD27</f>
        <v>0</v>
      </c>
      <c r="J26" s="4"/>
      <c r="K26" s="2"/>
      <c r="L26" s="3">
        <f>SOFP!AQ27</f>
        <v>0</v>
      </c>
      <c r="M26" s="5"/>
      <c r="N26" s="2"/>
      <c r="O26" s="3">
        <f>SOFP!BD27</f>
        <v>0</v>
      </c>
      <c r="P26" s="5"/>
      <c r="Q26" s="2"/>
      <c r="R26" s="3">
        <f>SOFP!BQ27</f>
        <v>0</v>
      </c>
      <c r="S26" s="5"/>
      <c r="T26" s="2"/>
    </row>
    <row r="27" spans="1:20" ht="15.75" customHeight="1">
      <c r="A27" s="2"/>
      <c r="B27" s="2"/>
      <c r="C27" s="2" t="s">
        <v>22</v>
      </c>
      <c r="D27" s="2"/>
      <c r="E27" s="2"/>
      <c r="F27" s="3">
        <f>SOFP!Q28</f>
        <v>15763.340065991253</v>
      </c>
      <c r="G27" s="2"/>
      <c r="H27" s="2"/>
      <c r="I27" s="3">
        <f>SOFP!AD28</f>
        <v>17999.49795676575</v>
      </c>
      <c r="J27" s="4"/>
      <c r="K27" s="2"/>
      <c r="L27" s="3">
        <f>SOFP!AQ28</f>
        <v>20589.918713047591</v>
      </c>
      <c r="M27" s="5"/>
      <c r="N27" s="2"/>
      <c r="O27" s="3">
        <f>SOFP!BD28</f>
        <v>21619.414648699974</v>
      </c>
      <c r="P27" s="5"/>
      <c r="Q27" s="2"/>
      <c r="R27" s="3">
        <f>SOFP!BQ28</f>
        <v>23606.739384564979</v>
      </c>
      <c r="S27" s="5"/>
      <c r="T27" s="2"/>
    </row>
    <row r="28" spans="1:20" ht="15.75" customHeight="1">
      <c r="A28" s="2"/>
      <c r="B28" s="2"/>
      <c r="C28" s="2"/>
      <c r="D28" s="2"/>
      <c r="E28" s="2"/>
      <c r="F28" s="3"/>
      <c r="G28" s="2"/>
      <c r="H28" s="2"/>
      <c r="I28" s="3"/>
      <c r="J28" s="4"/>
      <c r="K28" s="2"/>
      <c r="L28" s="3"/>
      <c r="M28" s="5"/>
      <c r="N28" s="2"/>
      <c r="O28" s="3"/>
      <c r="P28" s="5"/>
      <c r="Q28" s="2"/>
      <c r="R28" s="3"/>
      <c r="S28" s="5"/>
      <c r="T28" s="2"/>
    </row>
    <row r="29" spans="1:20" ht="15.75" customHeight="1">
      <c r="A29" s="2"/>
      <c r="B29" s="2"/>
      <c r="C29" s="2"/>
      <c r="D29" s="2" t="s">
        <v>24</v>
      </c>
      <c r="E29" s="2"/>
      <c r="F29" s="18">
        <f>SUM(F24:F28)</f>
        <v>79231.301630978181</v>
      </c>
      <c r="G29" s="2"/>
      <c r="H29" s="2"/>
      <c r="I29" s="18">
        <f>SUM(I24:I28)</f>
        <v>86494.679133932659</v>
      </c>
      <c r="J29" s="4"/>
      <c r="K29" s="2"/>
      <c r="L29" s="18">
        <f>SUM(L24:L28)</f>
        <v>94216.658658140906</v>
      </c>
      <c r="M29" s="5"/>
      <c r="N29" s="2"/>
      <c r="O29" s="18">
        <f>SUM(O24:O28)</f>
        <v>97962.735989863519</v>
      </c>
      <c r="P29" s="5"/>
      <c r="Q29" s="2"/>
      <c r="R29" s="18">
        <f>SUM(R24:R28)</f>
        <v>105653.88800140774</v>
      </c>
      <c r="S29" s="5"/>
      <c r="T29" s="2"/>
    </row>
    <row r="30" spans="1:20" ht="15.75" customHeight="1">
      <c r="A30" s="2"/>
      <c r="B30" s="2"/>
      <c r="C30" s="2"/>
      <c r="D30" s="2"/>
      <c r="E30" s="2"/>
      <c r="F30" s="3"/>
      <c r="G30" s="2"/>
      <c r="H30" s="2"/>
      <c r="I30" s="3"/>
      <c r="J30" s="4"/>
      <c r="K30" s="2"/>
      <c r="L30" s="3"/>
      <c r="M30" s="5"/>
      <c r="N30" s="2"/>
      <c r="O30" s="3"/>
      <c r="P30" s="5"/>
      <c r="Q30" s="2"/>
      <c r="R30" s="3"/>
      <c r="S30" s="5"/>
      <c r="T30" s="2"/>
    </row>
    <row r="31" spans="1:20" ht="15.75" customHeight="1">
      <c r="A31" s="2"/>
      <c r="B31" s="1" t="s">
        <v>25</v>
      </c>
      <c r="C31" s="2"/>
      <c r="D31" s="2"/>
      <c r="E31" s="2"/>
      <c r="F31" s="3"/>
      <c r="G31" s="2"/>
      <c r="H31" s="2"/>
      <c r="I31" s="3"/>
      <c r="J31" s="4"/>
      <c r="K31" s="2"/>
      <c r="L31" s="3"/>
      <c r="M31" s="5"/>
      <c r="N31" s="2"/>
      <c r="O31" s="3"/>
      <c r="P31" s="5"/>
      <c r="Q31" s="2"/>
      <c r="R31" s="3"/>
      <c r="S31" s="5"/>
      <c r="T31" s="2"/>
    </row>
    <row r="32" spans="1:20" ht="15.75" customHeight="1">
      <c r="A32" s="2"/>
      <c r="B32" s="1"/>
      <c r="C32" s="2" t="s">
        <v>26</v>
      </c>
      <c r="D32" s="2"/>
      <c r="E32" s="2"/>
      <c r="F32" s="3">
        <f>SOFP!Q33</f>
        <v>0</v>
      </c>
      <c r="G32" s="2"/>
      <c r="H32" s="2"/>
      <c r="I32" s="3">
        <f>SOFP!AD33</f>
        <v>0</v>
      </c>
      <c r="J32" s="4"/>
      <c r="K32" s="2"/>
      <c r="L32" s="3">
        <f>SOFP!AQ33</f>
        <v>0</v>
      </c>
      <c r="M32" s="5"/>
      <c r="N32" s="2"/>
      <c r="O32" s="3">
        <f>SOFP!BD33</f>
        <v>0</v>
      </c>
      <c r="P32" s="5"/>
      <c r="Q32" s="2"/>
      <c r="R32" s="3">
        <f>SOFP!BQ33</f>
        <v>0</v>
      </c>
      <c r="S32" s="5"/>
      <c r="T32" s="2"/>
    </row>
    <row r="33" spans="1:20" ht="15.75" customHeight="1">
      <c r="A33" s="2"/>
      <c r="B33" s="2"/>
      <c r="C33" s="2"/>
      <c r="D33" s="2" t="s">
        <v>27</v>
      </c>
      <c r="E33" s="2"/>
      <c r="F33" s="18">
        <f>SUM(F32)</f>
        <v>0</v>
      </c>
      <c r="G33" s="2"/>
      <c r="H33" s="2"/>
      <c r="I33" s="18">
        <f>SUM(I32)</f>
        <v>0</v>
      </c>
      <c r="J33" s="4"/>
      <c r="K33" s="2"/>
      <c r="L33" s="18">
        <f>SUM(L32)</f>
        <v>0</v>
      </c>
      <c r="M33" s="5"/>
      <c r="N33" s="2"/>
      <c r="O33" s="18">
        <f>SUM(O32)</f>
        <v>0</v>
      </c>
      <c r="P33" s="5"/>
      <c r="Q33" s="2"/>
      <c r="R33" s="18">
        <f>SUM(R32)</f>
        <v>0</v>
      </c>
      <c r="S33" s="5"/>
      <c r="T33" s="2"/>
    </row>
    <row r="34" spans="1:20" ht="15.75" customHeight="1">
      <c r="A34" s="2"/>
      <c r="B34" s="2"/>
      <c r="C34" s="2"/>
      <c r="D34" s="2"/>
      <c r="E34" s="2"/>
      <c r="F34" s="3"/>
      <c r="G34" s="2"/>
      <c r="H34" s="2"/>
      <c r="I34" s="3"/>
      <c r="J34" s="4"/>
      <c r="K34" s="2"/>
      <c r="L34" s="3"/>
      <c r="M34" s="5"/>
      <c r="N34" s="2"/>
      <c r="O34" s="3"/>
      <c r="P34" s="5"/>
      <c r="Q34" s="2"/>
      <c r="R34" s="3"/>
      <c r="S34" s="5"/>
      <c r="T34" s="2"/>
    </row>
    <row r="35" spans="1:20" ht="15.75" customHeight="1">
      <c r="A35" s="2"/>
      <c r="B35" s="2"/>
      <c r="C35" s="2"/>
      <c r="D35" s="16"/>
      <c r="E35" s="16" t="s">
        <v>28</v>
      </c>
      <c r="F35" s="3">
        <f>F29+F33</f>
        <v>79231.301630978181</v>
      </c>
      <c r="G35" s="2"/>
      <c r="H35" s="2"/>
      <c r="I35" s="3">
        <f>I29+I33</f>
        <v>86494.679133932659</v>
      </c>
      <c r="J35" s="4"/>
      <c r="K35" s="2"/>
      <c r="L35" s="3">
        <f>L29+L33</f>
        <v>94216.658658140906</v>
      </c>
      <c r="M35" s="5"/>
      <c r="N35" s="2"/>
      <c r="O35" s="3">
        <f>O29+O33</f>
        <v>97962.735989863519</v>
      </c>
      <c r="P35" s="5"/>
      <c r="Q35" s="2"/>
      <c r="R35" s="3">
        <f>R29+R33</f>
        <v>105653.88800140774</v>
      </c>
      <c r="S35" s="5"/>
      <c r="T35" s="2"/>
    </row>
    <row r="36" spans="1:20" ht="15.75" customHeight="1">
      <c r="A36" s="2"/>
      <c r="B36" s="2"/>
      <c r="C36" s="2"/>
      <c r="D36" s="2"/>
      <c r="E36" s="2"/>
      <c r="F36" s="3"/>
      <c r="G36" s="2"/>
      <c r="H36" s="2"/>
      <c r="I36" s="3"/>
      <c r="J36" s="4"/>
      <c r="K36" s="2"/>
      <c r="L36" s="3"/>
      <c r="M36" s="5"/>
      <c r="N36" s="2"/>
      <c r="O36" s="3"/>
      <c r="P36" s="5"/>
      <c r="Q36" s="2"/>
      <c r="R36" s="3"/>
      <c r="S36" s="5"/>
      <c r="T36" s="2"/>
    </row>
    <row r="37" spans="1:20" ht="15.75" customHeight="1">
      <c r="A37" s="2"/>
      <c r="B37" s="16" t="s">
        <v>29</v>
      </c>
      <c r="C37" s="2"/>
      <c r="D37" s="16"/>
      <c r="E37" s="16"/>
      <c r="F37" s="3"/>
      <c r="G37" s="2"/>
      <c r="H37" s="2"/>
      <c r="I37" s="3"/>
      <c r="J37" s="4"/>
      <c r="K37" s="2"/>
      <c r="L37" s="3"/>
      <c r="M37" s="5"/>
      <c r="N37" s="2"/>
      <c r="O37" s="3"/>
      <c r="P37" s="5"/>
      <c r="Q37" s="2"/>
      <c r="R37" s="3"/>
      <c r="S37" s="5"/>
      <c r="T37" s="2"/>
    </row>
    <row r="38" spans="1:20" ht="15.75" customHeight="1">
      <c r="A38" s="2"/>
      <c r="B38" s="2"/>
      <c r="C38" s="17" t="s">
        <v>30</v>
      </c>
      <c r="D38" s="17"/>
      <c r="E38" s="17"/>
      <c r="F38" s="3">
        <f>SOFP!Q39</f>
        <v>300000</v>
      </c>
      <c r="G38" s="2"/>
      <c r="H38" s="2"/>
      <c r="I38" s="3">
        <f>SOFP!AD39</f>
        <v>300000</v>
      </c>
      <c r="J38" s="4"/>
      <c r="K38" s="2"/>
      <c r="L38" s="3">
        <f>SOFP!AQ39</f>
        <v>300000</v>
      </c>
      <c r="M38" s="5"/>
      <c r="N38" s="2"/>
      <c r="O38" s="3">
        <f>SOFP!BD39</f>
        <v>300000</v>
      </c>
      <c r="P38" s="5"/>
      <c r="Q38" s="2"/>
      <c r="R38" s="3">
        <f>SOFP!BQ39</f>
        <v>300000</v>
      </c>
      <c r="S38" s="5"/>
      <c r="T38" s="2"/>
    </row>
    <row r="39" spans="1:20" ht="15.75" customHeight="1">
      <c r="A39" s="2"/>
      <c r="B39" s="2"/>
      <c r="C39" s="2" t="s">
        <v>31</v>
      </c>
      <c r="D39" s="17"/>
      <c r="E39" s="17"/>
      <c r="F39" s="3">
        <f>SOFP!Q40</f>
        <v>0</v>
      </c>
      <c r="G39" s="2"/>
      <c r="H39" s="2"/>
      <c r="I39" s="3">
        <f>SOFP!AD40</f>
        <v>0</v>
      </c>
      <c r="J39" s="4"/>
      <c r="K39" s="2"/>
      <c r="L39" s="3">
        <f>SOFP!AQ40</f>
        <v>0</v>
      </c>
      <c r="M39" s="5"/>
      <c r="N39" s="2"/>
      <c r="O39" s="3">
        <f>SOFP!BD40</f>
        <v>0</v>
      </c>
      <c r="P39" s="5"/>
      <c r="Q39" s="2"/>
      <c r="R39" s="3">
        <f>SOFP!BQ40</f>
        <v>0</v>
      </c>
      <c r="S39" s="5"/>
      <c r="T39" s="2"/>
    </row>
    <row r="40" spans="1:20" ht="15.75" customHeight="1">
      <c r="A40" s="2"/>
      <c r="B40" s="2"/>
      <c r="C40" s="2" t="s">
        <v>32</v>
      </c>
      <c r="D40" s="2"/>
      <c r="E40" s="2"/>
      <c r="F40" s="3">
        <f>SOFP!Q41</f>
        <v>-29598.774414909974</v>
      </c>
      <c r="G40" s="2"/>
      <c r="H40" s="2"/>
      <c r="I40" s="3">
        <f>SOFP!AD41</f>
        <v>-64701.664002560108</v>
      </c>
      <c r="J40" s="4"/>
      <c r="K40" s="2"/>
      <c r="L40" s="3">
        <f>SOFP!AQ41</f>
        <v>-79782.08579723502</v>
      </c>
      <c r="M40" s="5"/>
      <c r="N40" s="2"/>
      <c r="O40" s="3">
        <f>SOFP!BD41</f>
        <v>-90001.8148419059</v>
      </c>
      <c r="P40" s="5"/>
      <c r="Q40" s="2"/>
      <c r="R40" s="3">
        <f>SOFP!BQ41</f>
        <v>-107373.68100742251</v>
      </c>
      <c r="S40" s="5"/>
      <c r="T40" s="2"/>
    </row>
    <row r="41" spans="1:20" ht="15.75" customHeight="1">
      <c r="A41" s="2"/>
      <c r="B41" s="2"/>
      <c r="C41" s="2"/>
      <c r="D41" s="16"/>
      <c r="E41" s="16" t="str">
        <f>CONCATENATE("Total ",B37)</f>
        <v>Total Shareholders's equity</v>
      </c>
      <c r="F41" s="18">
        <f>SUM(F38:F40)</f>
        <v>270401.22558509</v>
      </c>
      <c r="G41" s="2"/>
      <c r="H41" s="2"/>
      <c r="I41" s="18">
        <f>SUM(I38:I40)</f>
        <v>235298.33599743989</v>
      </c>
      <c r="J41" s="4"/>
      <c r="K41" s="2"/>
      <c r="L41" s="18">
        <f>SUM(L38:L40)</f>
        <v>220217.91420276498</v>
      </c>
      <c r="M41" s="5"/>
      <c r="N41" s="2"/>
      <c r="O41" s="18">
        <f>SUM(O38:O40)</f>
        <v>209998.1851580941</v>
      </c>
      <c r="P41" s="5"/>
      <c r="Q41" s="2"/>
      <c r="R41" s="18">
        <f>SUM(R38:R40)</f>
        <v>192626.31899257749</v>
      </c>
      <c r="S41" s="5"/>
      <c r="T41" s="2"/>
    </row>
    <row r="42" spans="1:20" ht="15.75" customHeight="1">
      <c r="A42" s="2"/>
      <c r="B42" s="2"/>
      <c r="C42" s="2"/>
      <c r="D42" s="2"/>
      <c r="E42" s="2"/>
      <c r="F42" s="3"/>
      <c r="G42" s="2"/>
      <c r="H42" s="2"/>
      <c r="I42" s="3"/>
      <c r="J42" s="4"/>
      <c r="K42" s="2"/>
      <c r="L42" s="3"/>
      <c r="M42" s="5"/>
      <c r="N42" s="2"/>
      <c r="O42" s="3"/>
      <c r="P42" s="5"/>
      <c r="Q42" s="2"/>
      <c r="R42" s="3"/>
      <c r="S42" s="5"/>
      <c r="T42" s="2"/>
    </row>
    <row r="43" spans="1:20" ht="15.75" customHeight="1">
      <c r="A43" s="1" t="s">
        <v>33</v>
      </c>
      <c r="B43" s="1"/>
      <c r="C43" s="1"/>
      <c r="D43" s="1"/>
      <c r="E43" s="1"/>
      <c r="F43" s="19">
        <f>F35+F41</f>
        <v>349632.52721606818</v>
      </c>
      <c r="G43" s="2"/>
      <c r="H43" s="2"/>
      <c r="I43" s="19">
        <f>I35+I41</f>
        <v>321793.01513137255</v>
      </c>
      <c r="J43" s="4"/>
      <c r="K43" s="2"/>
      <c r="L43" s="19">
        <f>L35+L41</f>
        <v>314434.5728609059</v>
      </c>
      <c r="M43" s="5"/>
      <c r="N43" s="2"/>
      <c r="O43" s="19">
        <f>O35+O41</f>
        <v>307960.92114795762</v>
      </c>
      <c r="P43" s="5"/>
      <c r="Q43" s="2"/>
      <c r="R43" s="19">
        <f>R35+R41</f>
        <v>298280.20699398522</v>
      </c>
      <c r="S43" s="5"/>
      <c r="T43" s="2"/>
    </row>
    <row r="44" spans="1:20" ht="15.75" customHeight="1">
      <c r="A44" s="1"/>
      <c r="B44" s="1"/>
      <c r="C44" s="1"/>
      <c r="D44" s="1"/>
      <c r="E44" s="1"/>
      <c r="F44" s="3"/>
      <c r="G44" s="2"/>
      <c r="H44" s="2"/>
      <c r="I44" s="3"/>
      <c r="J44" s="4"/>
      <c r="K44" s="2"/>
      <c r="L44" s="3"/>
      <c r="M44" s="5"/>
      <c r="N44" s="2"/>
      <c r="O44" s="3"/>
      <c r="P44" s="5"/>
      <c r="Q44" s="2"/>
      <c r="R44" s="3"/>
      <c r="S44" s="5"/>
      <c r="T44" s="2"/>
    </row>
    <row r="45" spans="1:20" ht="15.75" customHeight="1">
      <c r="A45" s="1"/>
      <c r="B45" s="1"/>
      <c r="C45" s="1"/>
      <c r="D45" s="1"/>
      <c r="E45" s="1"/>
      <c r="F45" s="2"/>
      <c r="G45" s="2"/>
      <c r="H45" s="2"/>
      <c r="I45" s="3"/>
      <c r="J45" s="4"/>
      <c r="K45" s="2"/>
      <c r="L45" s="3"/>
      <c r="M45" s="5"/>
      <c r="N45" s="2"/>
      <c r="O45" s="3"/>
      <c r="P45" s="5"/>
      <c r="Q45" s="2"/>
      <c r="R45" s="3"/>
      <c r="S45" s="5"/>
      <c r="T45" s="2"/>
    </row>
    <row r="46" spans="1:20" ht="15.75" customHeight="1">
      <c r="A46" s="1" t="s">
        <v>0</v>
      </c>
      <c r="B46" s="2"/>
      <c r="C46" s="2"/>
      <c r="D46" s="2"/>
      <c r="E46" s="2"/>
      <c r="F46" s="2"/>
      <c r="G46" s="2"/>
      <c r="H46" s="2"/>
      <c r="I46" s="3"/>
      <c r="J46" s="4"/>
      <c r="K46" s="2"/>
      <c r="L46" s="3"/>
      <c r="M46" s="5"/>
      <c r="N46" s="2"/>
      <c r="O46" s="3"/>
      <c r="P46" s="5"/>
      <c r="Q46" s="2"/>
      <c r="R46" s="3"/>
      <c r="S46" s="5"/>
      <c r="T46" s="2"/>
    </row>
    <row r="47" spans="1:20" ht="15.75" customHeight="1">
      <c r="A47" s="6" t="s">
        <v>1</v>
      </c>
      <c r="B47" s="7"/>
      <c r="C47" s="7"/>
      <c r="D47" s="7"/>
      <c r="E47" s="7"/>
      <c r="F47" s="7"/>
      <c r="G47" s="7"/>
      <c r="H47" s="7"/>
      <c r="I47" s="8"/>
      <c r="J47" s="9"/>
      <c r="K47" s="7"/>
      <c r="L47" s="8"/>
      <c r="M47" s="10"/>
      <c r="N47" s="2"/>
      <c r="O47" s="8"/>
      <c r="P47" s="10"/>
      <c r="Q47" s="2"/>
      <c r="R47" s="8"/>
      <c r="S47" s="10"/>
      <c r="T47" s="2"/>
    </row>
    <row r="48" spans="1:20" ht="15.75" customHeight="1">
      <c r="A48" s="2"/>
      <c r="B48" s="2"/>
      <c r="C48" s="2"/>
      <c r="D48" s="2"/>
      <c r="E48" s="2"/>
      <c r="F48" s="379" t="s">
        <v>2</v>
      </c>
      <c r="G48" s="380"/>
      <c r="H48" s="1"/>
      <c r="I48" s="379" t="s">
        <v>3</v>
      </c>
      <c r="J48" s="380"/>
      <c r="K48" s="1"/>
      <c r="L48" s="379" t="s">
        <v>4</v>
      </c>
      <c r="M48" s="380"/>
      <c r="N48" s="2"/>
      <c r="O48" s="379" t="s">
        <v>5</v>
      </c>
      <c r="P48" s="380"/>
      <c r="Q48" s="2"/>
      <c r="R48" s="379" t="s">
        <v>6</v>
      </c>
      <c r="S48" s="380"/>
      <c r="T48" s="2"/>
    </row>
    <row r="49" spans="1:20" ht="15.75" customHeight="1">
      <c r="A49" s="1"/>
      <c r="B49" s="1" t="s">
        <v>34</v>
      </c>
      <c r="C49" s="1"/>
      <c r="D49" s="1"/>
      <c r="E49" s="1"/>
      <c r="F49" s="2"/>
      <c r="G49" s="2"/>
      <c r="H49" s="2"/>
      <c r="I49" s="3"/>
      <c r="J49" s="4"/>
      <c r="K49" s="2"/>
      <c r="L49" s="3"/>
      <c r="M49" s="5"/>
      <c r="N49" s="2"/>
      <c r="O49" s="3"/>
      <c r="P49" s="5"/>
      <c r="Q49" s="2"/>
      <c r="R49" s="3"/>
      <c r="S49" s="5"/>
      <c r="T49" s="2"/>
    </row>
    <row r="50" spans="1:20" ht="15.75" customHeight="1">
      <c r="A50" s="2"/>
      <c r="B50" s="2"/>
      <c r="C50" s="21" t="s">
        <v>35</v>
      </c>
      <c r="D50" s="2"/>
      <c r="E50" s="2"/>
      <c r="F50" s="3">
        <f>SOO!R8</f>
        <v>13639.401094276536</v>
      </c>
      <c r="G50" s="4">
        <f>F50/F$53</f>
        <v>3.1446991320294264E-2</v>
      </c>
      <c r="H50" s="2"/>
      <c r="I50" s="3">
        <f>SOO!AE8</f>
        <v>15685.311258418014</v>
      </c>
      <c r="J50" s="4">
        <f>I50/I$53</f>
        <v>3.1446991320294257E-2</v>
      </c>
      <c r="K50" s="2"/>
      <c r="L50" s="3">
        <f>SOO!AR8</f>
        <v>17943.996079630208</v>
      </c>
      <c r="M50" s="4">
        <f>L50/L$53</f>
        <v>3.144699132029425E-2</v>
      </c>
      <c r="N50" s="2"/>
      <c r="O50" s="3">
        <f>SOO!BE8</f>
        <v>18841.195883611723</v>
      </c>
      <c r="P50" s="4">
        <f>O50/O$53</f>
        <v>3.1446991320294264E-2</v>
      </c>
      <c r="Q50" s="2"/>
      <c r="R50" s="3">
        <f>SOO!BR8</f>
        <v>20574.585904904001</v>
      </c>
      <c r="S50" s="4">
        <f>R50/R$53</f>
        <v>3.144699132029425E-2</v>
      </c>
      <c r="T50" s="2"/>
    </row>
    <row r="51" spans="1:20" ht="15.75" customHeight="1">
      <c r="A51" s="2"/>
      <c r="B51" s="2"/>
      <c r="C51" s="21" t="s">
        <v>36</v>
      </c>
      <c r="D51" s="2"/>
      <c r="E51" s="2"/>
      <c r="F51" s="3">
        <f>SOO!R9</f>
        <v>413514.28574999998</v>
      </c>
      <c r="G51" s="4">
        <f>F51/F$53</f>
        <v>0.95339817818354733</v>
      </c>
      <c r="H51" s="2"/>
      <c r="I51" s="3">
        <f>SOO!AE9</f>
        <v>475541.42861249996</v>
      </c>
      <c r="J51" s="4">
        <f>I51/I$53</f>
        <v>0.95339817818354722</v>
      </c>
      <c r="K51" s="2"/>
      <c r="L51" s="3">
        <f>SOO!AR9</f>
        <v>544019.39433270006</v>
      </c>
      <c r="M51" s="4">
        <f>L51/L$53</f>
        <v>0.95339817818354722</v>
      </c>
      <c r="N51" s="2"/>
      <c r="O51" s="3">
        <f>SOO!BE9</f>
        <v>571220.36404933501</v>
      </c>
      <c r="P51" s="4">
        <f>O51/O$53</f>
        <v>0.95339817818354733</v>
      </c>
      <c r="Q51" s="2"/>
      <c r="R51" s="3">
        <f>SOO!BR9</f>
        <v>623772.63754187408</v>
      </c>
      <c r="S51" s="4">
        <f>R51/R$53</f>
        <v>0.95339817818354733</v>
      </c>
      <c r="T51" s="2"/>
    </row>
    <row r="52" spans="1:20" ht="15.75" customHeight="1">
      <c r="A52" s="2"/>
      <c r="B52" s="2"/>
      <c r="C52" s="2" t="s">
        <v>37</v>
      </c>
      <c r="D52" s="2"/>
      <c r="E52" s="2"/>
      <c r="F52" s="3">
        <f>SOO!R13</f>
        <v>6573.0552582142845</v>
      </c>
      <c r="G52" s="4">
        <f>F52/F$53</f>
        <v>1.5154830496158464E-2</v>
      </c>
      <c r="H52" s="2"/>
      <c r="I52" s="3">
        <f>SOO!AE13</f>
        <v>7559.0135469464303</v>
      </c>
      <c r="J52" s="4">
        <f>I52/I$53</f>
        <v>1.515483049615847E-2</v>
      </c>
      <c r="K52" s="2"/>
      <c r="L52" s="3">
        <f>SOO!AR13</f>
        <v>8647.5114977067151</v>
      </c>
      <c r="M52" s="4">
        <f>L52/L$53</f>
        <v>1.5154830496158464E-2</v>
      </c>
      <c r="N52" s="2"/>
      <c r="O52" s="3">
        <f>SOO!BE13</f>
        <v>9079.8870725920497</v>
      </c>
      <c r="P52" s="4">
        <f>O52/O$53</f>
        <v>1.5154830496158466E-2</v>
      </c>
      <c r="Q52" s="2"/>
      <c r="R52" s="3">
        <f>SOO!BR13</f>
        <v>9915.2366832705211</v>
      </c>
      <c r="S52" s="4">
        <f>R52/R$53</f>
        <v>1.5154830496158464E-2</v>
      </c>
      <c r="T52" s="2"/>
    </row>
    <row r="53" spans="1:20" ht="15.75" customHeight="1">
      <c r="A53" s="1"/>
      <c r="B53" s="1"/>
      <c r="C53" s="1"/>
      <c r="D53" s="1" t="s">
        <v>38</v>
      </c>
      <c r="E53" s="1"/>
      <c r="F53" s="18">
        <f>SUM(F50:F52)</f>
        <v>433726.7421024908</v>
      </c>
      <c r="G53" s="22">
        <f>F53/F$53</f>
        <v>1</v>
      </c>
      <c r="H53" s="2"/>
      <c r="I53" s="18">
        <f>SUM(I50:I52)</f>
        <v>498785.75341786444</v>
      </c>
      <c r="J53" s="22">
        <f>I53/I$53</f>
        <v>1</v>
      </c>
      <c r="K53" s="2"/>
      <c r="L53" s="18">
        <f>SUM(L50:L52)</f>
        <v>570610.90191003704</v>
      </c>
      <c r="M53" s="22">
        <f>L53/L$53</f>
        <v>1</v>
      </c>
      <c r="N53" s="2"/>
      <c r="O53" s="18">
        <f>SUM(O50:O52)</f>
        <v>599141.44700553874</v>
      </c>
      <c r="P53" s="22">
        <f>O53/O$53</f>
        <v>1</v>
      </c>
      <c r="Q53" s="2"/>
      <c r="R53" s="18">
        <f>SUM(R50:R52)</f>
        <v>654262.46013004857</v>
      </c>
      <c r="S53" s="22">
        <f>R53/R$53</f>
        <v>1</v>
      </c>
      <c r="T53" s="2"/>
    </row>
    <row r="54" spans="1:20" ht="15.75" customHeight="1">
      <c r="A54" s="2"/>
      <c r="B54" s="2"/>
      <c r="C54" s="2"/>
      <c r="D54" s="2"/>
      <c r="E54" s="2"/>
      <c r="F54" s="3"/>
      <c r="G54" s="4"/>
      <c r="H54" s="2"/>
      <c r="I54" s="3"/>
      <c r="J54" s="4"/>
      <c r="K54" s="2"/>
      <c r="L54" s="3"/>
      <c r="M54" s="4"/>
      <c r="N54" s="2"/>
      <c r="O54" s="3"/>
      <c r="P54" s="4"/>
      <c r="Q54" s="2"/>
      <c r="R54" s="3"/>
      <c r="S54" s="4"/>
      <c r="T54" s="2"/>
    </row>
    <row r="55" spans="1:20" ht="15.75" customHeight="1">
      <c r="A55" s="2"/>
      <c r="B55" s="1" t="s">
        <v>39</v>
      </c>
      <c r="C55" s="2"/>
      <c r="D55" s="2"/>
      <c r="E55" s="2"/>
      <c r="F55" s="3"/>
      <c r="G55" s="4"/>
      <c r="H55" s="2"/>
      <c r="I55" s="3"/>
      <c r="J55" s="4"/>
      <c r="K55" s="2"/>
      <c r="L55" s="3"/>
      <c r="M55" s="4"/>
      <c r="N55" s="2"/>
      <c r="O55" s="3"/>
      <c r="P55" s="4"/>
      <c r="Q55" s="2"/>
      <c r="R55" s="3"/>
      <c r="S55" s="4"/>
      <c r="T55" s="2"/>
    </row>
    <row r="56" spans="1:20" ht="15.75" customHeight="1">
      <c r="A56" s="2"/>
      <c r="B56" s="2"/>
      <c r="C56" s="21" t="s">
        <v>35</v>
      </c>
      <c r="D56" s="2"/>
      <c r="E56" s="2"/>
      <c r="F56" s="3">
        <f>SOO!R19</f>
        <v>1771.9394157042052</v>
      </c>
      <c r="G56" s="4">
        <f>F56/F$53</f>
        <v>4.0853819783274771E-3</v>
      </c>
      <c r="H56" s="2"/>
      <c r="I56" s="3">
        <f>SOO!AE19</f>
        <v>2078.4849346210326</v>
      </c>
      <c r="J56" s="4">
        <f>I56/I$53</f>
        <v>4.1670896178940256E-3</v>
      </c>
      <c r="K56" s="2"/>
      <c r="L56" s="3">
        <f>SOO!AR19</f>
        <v>2332.0600966447987</v>
      </c>
      <c r="M56" s="4">
        <f>L56/L$53</f>
        <v>4.0869532790883713E-3</v>
      </c>
      <c r="N56" s="2"/>
      <c r="O56" s="3">
        <f>SOO!BE19</f>
        <v>2497.6363635065791</v>
      </c>
      <c r="P56" s="4">
        <f>O56/O$53</f>
        <v>4.1686923446701387E-3</v>
      </c>
      <c r="Q56" s="2"/>
      <c r="R56" s="3">
        <f>SOO!BR19</f>
        <v>2674.9685453155475</v>
      </c>
      <c r="S56" s="4">
        <f>R56/R$53</f>
        <v>4.0885251841957133E-3</v>
      </c>
      <c r="T56" s="2"/>
    </row>
    <row r="57" spans="1:20" ht="15.75" customHeight="1">
      <c r="A57" s="2"/>
      <c r="B57" s="2"/>
      <c r="C57" s="21" t="s">
        <v>36</v>
      </c>
      <c r="D57" s="2"/>
      <c r="E57" s="2"/>
      <c r="F57" s="3">
        <f>SOO!R20</f>
        <v>23712.426740216375</v>
      </c>
      <c r="G57" s="4">
        <f>F57/F$53</f>
        <v>5.467135050347683E-2</v>
      </c>
      <c r="H57" s="2"/>
      <c r="I57" s="3">
        <f>SOO!AE20</f>
        <v>27814.676566273803</v>
      </c>
      <c r="J57" s="4">
        <f>I57/I$53</f>
        <v>5.5764777513546353E-2</v>
      </c>
      <c r="K57" s="2"/>
      <c r="L57" s="3">
        <f>SOO!AR20</f>
        <v>31208.067107359209</v>
      </c>
      <c r="M57" s="4">
        <f>L57/L$53</f>
        <v>5.469237794597815E-2</v>
      </c>
      <c r="N57" s="2"/>
      <c r="O57" s="3">
        <f>SOO!BE20</f>
        <v>33423.839871981727</v>
      </c>
      <c r="P57" s="4">
        <f>O57/O$53</f>
        <v>5.578622550489775E-2</v>
      </c>
      <c r="Q57" s="2"/>
      <c r="R57" s="3">
        <f>SOO!BR20</f>
        <v>35796.932502892421</v>
      </c>
      <c r="S57" s="4">
        <f>R57/R$53</f>
        <v>5.4713413475957373E-2</v>
      </c>
      <c r="T57" s="2"/>
    </row>
    <row r="58" spans="1:20" ht="15.75" customHeight="1">
      <c r="A58" s="2"/>
      <c r="B58" s="2"/>
      <c r="C58" s="2" t="s">
        <v>37</v>
      </c>
      <c r="D58" s="2"/>
      <c r="E58" s="2"/>
      <c r="F58" s="3">
        <f>SOO!R24</f>
        <v>4929.7914436607143</v>
      </c>
      <c r="G58" s="4">
        <f>F58/F$53</f>
        <v>1.136612287211885E-2</v>
      </c>
      <c r="H58" s="2"/>
      <c r="I58" s="3">
        <f>SOO!AE24</f>
        <v>5669.2601602098221</v>
      </c>
      <c r="J58" s="4">
        <f>I58/I$53</f>
        <v>1.136612287211885E-2</v>
      </c>
      <c r="K58" s="2"/>
      <c r="L58" s="3">
        <f>SOO!AR24</f>
        <v>6485.6336232800359</v>
      </c>
      <c r="M58" s="4">
        <f>L58/L$53</f>
        <v>1.1366122872118847E-2</v>
      </c>
      <c r="N58" s="2"/>
      <c r="O58" s="3">
        <f>SOO!BE24</f>
        <v>6809.9153044440372</v>
      </c>
      <c r="P58" s="4">
        <f>O58/O$53</f>
        <v>1.1366122872118849E-2</v>
      </c>
      <c r="Q58" s="2"/>
      <c r="R58" s="3">
        <f>SOO!BR24</f>
        <v>7436.4275124528913</v>
      </c>
      <c r="S58" s="4">
        <f>R58/R$53</f>
        <v>1.1366122872118849E-2</v>
      </c>
      <c r="T58" s="2"/>
    </row>
    <row r="59" spans="1:20" ht="15.75" customHeight="1">
      <c r="A59" s="2"/>
      <c r="B59" s="2"/>
      <c r="C59" s="2"/>
      <c r="D59" s="2"/>
      <c r="E59" s="1" t="s">
        <v>40</v>
      </c>
      <c r="F59" s="18">
        <f>SUM(F56:F58)</f>
        <v>30414.157599581293</v>
      </c>
      <c r="G59" s="22">
        <f>F59/F$53</f>
        <v>7.0122855353923152E-2</v>
      </c>
      <c r="H59" s="2"/>
      <c r="I59" s="18">
        <f>SUM(I56:I58)</f>
        <v>35562.421661104658</v>
      </c>
      <c r="J59" s="22">
        <f>I59/I$53</f>
        <v>7.1297990003559228E-2</v>
      </c>
      <c r="K59" s="2"/>
      <c r="L59" s="18">
        <f>SUM(L56:L58)</f>
        <v>40025.760827284044</v>
      </c>
      <c r="M59" s="22">
        <f>L59/L$53</f>
        <v>7.0145454097185367E-2</v>
      </c>
      <c r="N59" s="2"/>
      <c r="O59" s="18">
        <f>SUM(O56:O58)</f>
        <v>42731.391539932345</v>
      </c>
      <c r="P59" s="22">
        <f>O59/O$53</f>
        <v>7.132104072168674E-2</v>
      </c>
      <c r="Q59" s="2"/>
      <c r="R59" s="18">
        <f>SUM(R56:R58)</f>
        <v>45908.328560660862</v>
      </c>
      <c r="S59" s="22">
        <f>R59/R$53</f>
        <v>7.0168061532271939E-2</v>
      </c>
      <c r="T59" s="2"/>
    </row>
    <row r="60" spans="1:20" ht="15.75" customHeight="1">
      <c r="A60" s="2"/>
      <c r="B60" s="2"/>
      <c r="C60" s="2"/>
      <c r="D60" s="2"/>
      <c r="E60" s="2"/>
      <c r="F60" s="3"/>
      <c r="G60" s="4"/>
      <c r="H60" s="2"/>
      <c r="I60" s="3"/>
      <c r="J60" s="4"/>
      <c r="K60" s="2"/>
      <c r="L60" s="3"/>
      <c r="M60" s="4"/>
      <c r="N60" s="2"/>
      <c r="O60" s="3"/>
      <c r="P60" s="4"/>
      <c r="Q60" s="2"/>
      <c r="R60" s="3"/>
      <c r="S60" s="4"/>
      <c r="T60" s="2"/>
    </row>
    <row r="61" spans="1:20" ht="15.75" customHeight="1">
      <c r="A61" s="2"/>
      <c r="B61" s="1" t="s">
        <v>41</v>
      </c>
      <c r="C61" s="2"/>
      <c r="D61" s="2"/>
      <c r="E61" s="2"/>
      <c r="F61" s="3">
        <f>SOO!R36</f>
        <v>379797.32487917593</v>
      </c>
      <c r="G61" s="4">
        <f>F61/F$53</f>
        <v>0.87566038247516864</v>
      </c>
      <c r="H61" s="2"/>
      <c r="I61" s="3">
        <f>SOO!AE36</f>
        <v>440674.55159704748</v>
      </c>
      <c r="J61" s="4">
        <f>I61/I$53</f>
        <v>0.88349466394615817</v>
      </c>
      <c r="K61" s="2"/>
      <c r="L61" s="3">
        <f>SOO!AR36</f>
        <v>488983.92931181827</v>
      </c>
      <c r="M61" s="4">
        <f>L61/L$53</f>
        <v>0.85694810189398007</v>
      </c>
      <c r="N61" s="2"/>
      <c r="O61" s="3">
        <f>SOO!BE36</f>
        <v>510227.24427439272</v>
      </c>
      <c r="P61" s="4">
        <f>O61/O$53</f>
        <v>0.85159730949088541</v>
      </c>
      <c r="Q61" s="2"/>
      <c r="R61" s="3">
        <f>SOO!BR36</f>
        <v>571974.68823736766</v>
      </c>
      <c r="S61" s="4">
        <f>R61/R$53</f>
        <v>0.87422819295436194</v>
      </c>
      <c r="T61" s="2"/>
    </row>
    <row r="62" spans="1:20" ht="15.75" customHeight="1">
      <c r="A62" s="2"/>
      <c r="B62" s="2"/>
      <c r="C62" s="2"/>
      <c r="D62" s="2"/>
      <c r="E62" s="2"/>
      <c r="F62" s="3"/>
      <c r="G62" s="4"/>
      <c r="H62" s="2"/>
      <c r="I62" s="3"/>
      <c r="J62" s="4"/>
      <c r="K62" s="2"/>
      <c r="L62" s="3"/>
      <c r="M62" s="4"/>
      <c r="N62" s="2"/>
      <c r="O62" s="3"/>
      <c r="P62" s="4"/>
      <c r="Q62" s="2"/>
      <c r="R62" s="3"/>
      <c r="S62" s="4"/>
      <c r="T62" s="2"/>
    </row>
    <row r="63" spans="1:20" ht="15.75" customHeight="1">
      <c r="A63" s="1"/>
      <c r="B63" s="23" t="s">
        <v>42</v>
      </c>
      <c r="C63" s="24"/>
      <c r="D63" s="24"/>
      <c r="E63" s="21"/>
      <c r="F63" s="3"/>
      <c r="G63" s="4"/>
      <c r="H63" s="2"/>
      <c r="I63" s="3"/>
      <c r="J63" s="4"/>
      <c r="K63" s="2"/>
      <c r="L63" s="3"/>
      <c r="M63" s="4"/>
      <c r="N63" s="2"/>
      <c r="O63" s="3"/>
      <c r="P63" s="4"/>
      <c r="Q63" s="2"/>
      <c r="R63" s="3"/>
      <c r="S63" s="4"/>
      <c r="T63" s="2"/>
    </row>
    <row r="64" spans="1:20" ht="15.75" customHeight="1">
      <c r="A64" s="1"/>
      <c r="B64" s="23"/>
      <c r="C64" s="25" t="s">
        <v>43</v>
      </c>
      <c r="D64" s="24"/>
      <c r="E64" s="21"/>
      <c r="F64" s="3"/>
      <c r="G64" s="4"/>
      <c r="H64" s="2"/>
      <c r="I64" s="3"/>
      <c r="J64" s="4"/>
      <c r="K64" s="2"/>
      <c r="L64" s="3"/>
      <c r="M64" s="4"/>
      <c r="N64" s="2"/>
      <c r="O64" s="3"/>
      <c r="P64" s="4"/>
      <c r="Q64" s="2"/>
      <c r="R64" s="3"/>
      <c r="S64" s="4"/>
      <c r="T64" s="2"/>
    </row>
    <row r="65" spans="1:20" ht="15.75" customHeight="1">
      <c r="A65" s="2"/>
      <c r="B65" s="2"/>
      <c r="C65" s="24" t="s">
        <v>44</v>
      </c>
      <c r="D65" s="24"/>
      <c r="E65" s="24"/>
      <c r="F65" s="3">
        <f>SOO!R40</f>
        <v>73428</v>
      </c>
      <c r="G65" s="4">
        <f>F65/F$53</f>
        <v>0.16929553304474079</v>
      </c>
      <c r="H65" s="2"/>
      <c r="I65" s="3">
        <f>SOO!AE40</f>
        <v>105624</v>
      </c>
      <c r="J65" s="4">
        <f>I65/I$53</f>
        <v>0.2117622632086528</v>
      </c>
      <c r="K65" s="2"/>
      <c r="L65" s="3">
        <f>SOO!AR40</f>
        <v>119376</v>
      </c>
      <c r="M65" s="4">
        <f>L65/L$53</f>
        <v>0.20920735934137641</v>
      </c>
      <c r="N65" s="2"/>
      <c r="O65" s="3">
        <f>SOO!BE40</f>
        <v>128748</v>
      </c>
      <c r="P65" s="4">
        <f>O65/O$53</f>
        <v>0.2148874871592881</v>
      </c>
      <c r="Q65" s="2"/>
      <c r="R65" s="3">
        <f>SOO!BR40</f>
        <v>159996</v>
      </c>
      <c r="S65" s="4">
        <f>R65/R$53</f>
        <v>0.24454406258949565</v>
      </c>
      <c r="T65" s="2"/>
    </row>
    <row r="66" spans="1:20" ht="15.75" customHeight="1">
      <c r="A66" s="2"/>
      <c r="B66" s="2"/>
      <c r="C66" s="26" t="s">
        <v>45</v>
      </c>
      <c r="D66" s="24"/>
      <c r="E66" s="24"/>
      <c r="F66" s="3"/>
      <c r="G66" s="4"/>
      <c r="H66" s="2"/>
      <c r="I66" s="3"/>
      <c r="J66" s="4"/>
      <c r="K66" s="2"/>
      <c r="L66" s="3"/>
      <c r="M66" s="4"/>
      <c r="N66" s="2"/>
      <c r="O66" s="3"/>
      <c r="P66" s="4"/>
      <c r="Q66" s="2"/>
      <c r="R66" s="3"/>
      <c r="S66" s="4"/>
      <c r="T66" s="2"/>
    </row>
    <row r="67" spans="1:20" ht="15.75" customHeight="1">
      <c r="A67" s="2"/>
      <c r="B67" s="21"/>
      <c r="C67" s="2" t="s">
        <v>46</v>
      </c>
      <c r="D67" s="2"/>
      <c r="E67" s="2"/>
      <c r="F67" s="3">
        <f>SOO!R43</f>
        <v>2400</v>
      </c>
      <c r="G67" s="4">
        <f t="shared" ref="G67:G78" si="0">F67/F$53</f>
        <v>5.5334379161542996E-3</v>
      </c>
      <c r="H67" s="2"/>
      <c r="I67" s="3">
        <f>SOO!AE43</f>
        <v>2520</v>
      </c>
      <c r="J67" s="4">
        <f t="shared" ref="J67:J78" si="1">I67/I$53</f>
        <v>5.0522694017060997E-3</v>
      </c>
      <c r="K67" s="2"/>
      <c r="L67" s="3">
        <f>SOO!AR43</f>
        <v>2646</v>
      </c>
      <c r="M67" s="4">
        <f t="shared" ref="M67:M78" si="2">L67/L$53</f>
        <v>4.6371353774400381E-3</v>
      </c>
      <c r="N67" s="2"/>
      <c r="O67" s="3">
        <f>SOO!BE43</f>
        <v>2725.38</v>
      </c>
      <c r="P67" s="4">
        <f t="shared" ref="P67:P78" si="3">O67/O$53</f>
        <v>4.5488089892983244E-3</v>
      </c>
      <c r="Q67" s="2"/>
      <c r="R67" s="3">
        <f>SOO!BR43</f>
        <v>2807.1414</v>
      </c>
      <c r="S67" s="4">
        <f t="shared" ref="S67:S78" si="4">R67/R$53</f>
        <v>4.2905432774517143E-3</v>
      </c>
      <c r="T67" s="2"/>
    </row>
    <row r="68" spans="1:20" ht="15.75" customHeight="1">
      <c r="A68" s="2"/>
      <c r="B68" s="21"/>
      <c r="C68" s="24" t="s">
        <v>47</v>
      </c>
      <c r="D68" s="24"/>
      <c r="E68" s="2"/>
      <c r="F68" s="3">
        <f>SOO!R44</f>
        <v>19916.357432389286</v>
      </c>
      <c r="G68" s="4">
        <f t="shared" si="0"/>
        <v>4.5919136403360157E-2</v>
      </c>
      <c r="H68" s="2"/>
      <c r="I68" s="3">
        <f>SOO!AE44</f>
        <v>22903.811047247676</v>
      </c>
      <c r="J68" s="4">
        <f t="shared" si="1"/>
        <v>4.5919136403360143E-2</v>
      </c>
      <c r="K68" s="2"/>
      <c r="L68" s="3">
        <f>SOO!AR44</f>
        <v>26201.959838051345</v>
      </c>
      <c r="M68" s="4">
        <f t="shared" si="2"/>
        <v>4.5919136403360143E-2</v>
      </c>
      <c r="N68" s="2"/>
      <c r="O68" s="3">
        <f>SOO!BE44</f>
        <v>27512.057829953916</v>
      </c>
      <c r="P68" s="4">
        <f t="shared" si="3"/>
        <v>4.5919136403360157E-2</v>
      </c>
      <c r="Q68" s="2"/>
      <c r="R68" s="3">
        <f>SOO!BR44</f>
        <v>30043.167150309677</v>
      </c>
      <c r="S68" s="4">
        <f t="shared" si="4"/>
        <v>4.5919136403360143E-2</v>
      </c>
      <c r="T68" s="2"/>
    </row>
    <row r="69" spans="1:20" ht="15.75" customHeight="1">
      <c r="A69" s="2"/>
      <c r="B69" s="21"/>
      <c r="C69" s="24" t="s">
        <v>48</v>
      </c>
      <c r="D69" s="24"/>
      <c r="E69" s="2"/>
      <c r="F69" s="3">
        <f>SOO!R69</f>
        <v>14460</v>
      </c>
      <c r="G69" s="4">
        <f t="shared" si="0"/>
        <v>3.3338963444829658E-2</v>
      </c>
      <c r="H69" s="2"/>
      <c r="I69" s="3">
        <f>SOO!AE69</f>
        <v>14460</v>
      </c>
      <c r="J69" s="4">
        <f t="shared" si="1"/>
        <v>2.8990402995504046E-2</v>
      </c>
      <c r="K69" s="2"/>
      <c r="L69" s="3">
        <f>SOO!AR69</f>
        <v>14460</v>
      </c>
      <c r="M69" s="4">
        <f t="shared" si="2"/>
        <v>2.5341261359706328E-2</v>
      </c>
      <c r="N69" s="2"/>
      <c r="O69" s="3">
        <f>SOO!BE69</f>
        <v>14460</v>
      </c>
      <c r="P69" s="4">
        <f t="shared" si="3"/>
        <v>2.4134534628291748E-2</v>
      </c>
      <c r="Q69" s="2"/>
      <c r="R69" s="3">
        <f>SOO!BR69</f>
        <v>14460</v>
      </c>
      <c r="S69" s="4">
        <f t="shared" si="4"/>
        <v>2.2101222187080348E-2</v>
      </c>
      <c r="T69" s="2"/>
    </row>
    <row r="70" spans="1:20" ht="15.75" customHeight="1">
      <c r="A70" s="2"/>
      <c r="B70" s="21"/>
      <c r="C70" s="24" t="s">
        <v>49</v>
      </c>
      <c r="D70" s="24"/>
      <c r="E70" s="24"/>
      <c r="F70" s="3">
        <f>SOO!R46</f>
        <v>1263</v>
      </c>
      <c r="G70" s="4">
        <f t="shared" si="0"/>
        <v>2.9119717033762003E-3</v>
      </c>
      <c r="H70" s="2"/>
      <c r="I70" s="3">
        <f>SOO!AE46</f>
        <v>1288.26</v>
      </c>
      <c r="J70" s="4">
        <f t="shared" si="1"/>
        <v>2.5827922934293251E-3</v>
      </c>
      <c r="K70" s="2"/>
      <c r="L70" s="3">
        <f>SOO!AR46</f>
        <v>1314.0252</v>
      </c>
      <c r="M70" s="4">
        <f t="shared" si="2"/>
        <v>2.3028392826030695E-3</v>
      </c>
      <c r="N70" s="2"/>
      <c r="O70" s="3">
        <f>SOO!BE46</f>
        <v>1340.3057040000003</v>
      </c>
      <c r="P70" s="4">
        <f t="shared" si="3"/>
        <v>2.237043874528697E-3</v>
      </c>
      <c r="Q70" s="2"/>
      <c r="R70" s="3">
        <f>SOO!BR46</f>
        <v>1367.1118180800001</v>
      </c>
      <c r="S70" s="4">
        <f t="shared" si="4"/>
        <v>2.0895464762081223E-3</v>
      </c>
      <c r="T70" s="2"/>
    </row>
    <row r="71" spans="1:20" ht="15.75" customHeight="1">
      <c r="A71" s="2"/>
      <c r="B71" s="21"/>
      <c r="C71" s="21" t="s">
        <v>50</v>
      </c>
      <c r="D71" s="24"/>
      <c r="E71" s="24"/>
      <c r="F71" s="3">
        <f>SOO!R47</f>
        <v>2400</v>
      </c>
      <c r="G71" s="4">
        <f t="shared" si="0"/>
        <v>5.5334379161542996E-3</v>
      </c>
      <c r="H71" s="2"/>
      <c r="I71" s="3">
        <f>SOO!AE47</f>
        <v>2520</v>
      </c>
      <c r="J71" s="4">
        <f t="shared" si="1"/>
        <v>5.0522694017060997E-3</v>
      </c>
      <c r="K71" s="2"/>
      <c r="L71" s="3">
        <f>SOO!AR47</f>
        <v>2646</v>
      </c>
      <c r="M71" s="4">
        <f t="shared" si="2"/>
        <v>4.6371353774400381E-3</v>
      </c>
      <c r="N71" s="2"/>
      <c r="O71" s="3">
        <f>SOO!BE47</f>
        <v>2778.3000000000006</v>
      </c>
      <c r="P71" s="4">
        <f t="shared" si="3"/>
        <v>4.6371353774400399E-3</v>
      </c>
      <c r="Q71" s="2"/>
      <c r="R71" s="3">
        <f>SOO!BR47</f>
        <v>2917.2150000000006</v>
      </c>
      <c r="S71" s="4">
        <f t="shared" si="4"/>
        <v>4.4587840167692678E-3</v>
      </c>
      <c r="T71" s="2"/>
    </row>
    <row r="72" spans="1:20" ht="15.75" customHeight="1">
      <c r="A72" s="2"/>
      <c r="B72" s="21"/>
      <c r="C72" s="24" t="s">
        <v>51</v>
      </c>
      <c r="D72" s="24"/>
      <c r="E72" s="2"/>
      <c r="F72" s="3">
        <f>SOO!R48</f>
        <v>10800</v>
      </c>
      <c r="G72" s="4">
        <f t="shared" si="0"/>
        <v>2.4900470622694348E-2</v>
      </c>
      <c r="H72" s="2"/>
      <c r="I72" s="3">
        <f>SOO!AE48</f>
        <v>11340</v>
      </c>
      <c r="J72" s="4">
        <f t="shared" si="1"/>
        <v>2.2735212307677447E-2</v>
      </c>
      <c r="K72" s="2"/>
      <c r="L72" s="3">
        <f>SOO!AR48</f>
        <v>11793.599999999999</v>
      </c>
      <c r="M72" s="4">
        <f t="shared" si="2"/>
        <v>2.0668374825161311E-2</v>
      </c>
      <c r="N72" s="2"/>
      <c r="O72" s="3">
        <f>SOO!BE48</f>
        <v>12147.407999999998</v>
      </c>
      <c r="P72" s="4">
        <f t="shared" si="3"/>
        <v>2.0274691495158242E-2</v>
      </c>
      <c r="Q72" s="2"/>
      <c r="R72" s="3">
        <f>SOO!BR48</f>
        <v>12390.356159999998</v>
      </c>
      <c r="S72" s="4">
        <f t="shared" si="4"/>
        <v>1.8937898649323624E-2</v>
      </c>
      <c r="T72" s="2"/>
    </row>
    <row r="73" spans="1:20" ht="15.75" customHeight="1">
      <c r="A73" s="2"/>
      <c r="B73" s="21"/>
      <c r="C73" s="24" t="s">
        <v>52</v>
      </c>
      <c r="D73" s="24"/>
      <c r="E73" s="2"/>
      <c r="F73" s="3">
        <f>SOO!R49</f>
        <v>1674.9999999999998</v>
      </c>
      <c r="G73" s="4">
        <f t="shared" si="0"/>
        <v>3.8618785456493543E-3</v>
      </c>
      <c r="H73" s="2"/>
      <c r="I73" s="3">
        <f>SOO!AE49</f>
        <v>1674.9999999999998</v>
      </c>
      <c r="J73" s="4">
        <f t="shared" si="1"/>
        <v>3.358155257086395E-3</v>
      </c>
      <c r="K73" s="2"/>
      <c r="L73" s="3">
        <f>SOO!AR49</f>
        <v>1674.9999999999998</v>
      </c>
      <c r="M73" s="4">
        <f t="shared" si="2"/>
        <v>2.9354503995510438E-3</v>
      </c>
      <c r="N73" s="2"/>
      <c r="O73" s="3">
        <f>SOO!BE49</f>
        <v>1674.9999999999998</v>
      </c>
      <c r="P73" s="4">
        <f t="shared" si="3"/>
        <v>2.7956670471914712E-3</v>
      </c>
      <c r="Q73" s="2"/>
      <c r="R73" s="3">
        <f>SOO!BR49</f>
        <v>1674.9999999999998</v>
      </c>
      <c r="S73" s="4">
        <f t="shared" si="4"/>
        <v>2.5601346586002472E-3</v>
      </c>
      <c r="T73" s="2"/>
    </row>
    <row r="74" spans="1:20" ht="15.75" customHeight="1">
      <c r="A74" s="2"/>
      <c r="B74" s="21"/>
      <c r="C74" s="24" t="s">
        <v>53</v>
      </c>
      <c r="D74" s="24"/>
      <c r="E74" s="2"/>
      <c r="F74" s="3">
        <f>SOO!R50</f>
        <v>1200</v>
      </c>
      <c r="G74" s="4">
        <f t="shared" si="0"/>
        <v>2.7667189580771498E-3</v>
      </c>
      <c r="H74" s="2"/>
      <c r="I74" s="3">
        <f>SOO!AE50</f>
        <v>1260</v>
      </c>
      <c r="J74" s="4">
        <f t="shared" si="1"/>
        <v>2.5261347008530498E-3</v>
      </c>
      <c r="K74" s="2"/>
      <c r="L74" s="3">
        <f>SOO!AR50</f>
        <v>1323</v>
      </c>
      <c r="M74" s="4">
        <f t="shared" si="2"/>
        <v>2.3185676887200191E-3</v>
      </c>
      <c r="N74" s="2"/>
      <c r="O74" s="3">
        <f>SOO!BE50</f>
        <v>1402.38</v>
      </c>
      <c r="P74" s="4">
        <f t="shared" si="3"/>
        <v>2.3406492857554486E-3</v>
      </c>
      <c r="Q74" s="2"/>
      <c r="R74" s="3">
        <f>SOO!BR50</f>
        <v>1486.5228</v>
      </c>
      <c r="S74" s="4">
        <f t="shared" si="4"/>
        <v>2.2720588304952142E-3</v>
      </c>
      <c r="T74" s="2"/>
    </row>
    <row r="75" spans="1:20" ht="15.75" customHeight="1">
      <c r="A75" s="2"/>
      <c r="B75" s="21"/>
      <c r="C75" s="24" t="s">
        <v>54</v>
      </c>
      <c r="D75" s="24"/>
      <c r="E75" s="24"/>
      <c r="F75" s="3">
        <f>SOO!R51</f>
        <v>1200</v>
      </c>
      <c r="G75" s="4">
        <f t="shared" si="0"/>
        <v>2.7667189580771498E-3</v>
      </c>
      <c r="H75" s="2"/>
      <c r="I75" s="3">
        <f>SOO!AE51</f>
        <v>1236</v>
      </c>
      <c r="J75" s="4">
        <f t="shared" si="1"/>
        <v>2.4780178494082298E-3</v>
      </c>
      <c r="K75" s="2"/>
      <c r="L75" s="3">
        <f>SOO!AR51</f>
        <v>1285.44</v>
      </c>
      <c r="M75" s="4">
        <f t="shared" si="2"/>
        <v>2.2527434994620266E-3</v>
      </c>
      <c r="N75" s="2"/>
      <c r="O75" s="3">
        <f>SOO!BE51</f>
        <v>1349.7120000000004</v>
      </c>
      <c r="P75" s="4">
        <f t="shared" si="3"/>
        <v>2.2527434994620279E-3</v>
      </c>
      <c r="Q75" s="2"/>
      <c r="R75" s="3">
        <f>SOO!BR51</f>
        <v>1430.6947200000004</v>
      </c>
      <c r="S75" s="4">
        <f t="shared" si="4"/>
        <v>2.1867290379393302E-3</v>
      </c>
      <c r="T75" s="2"/>
    </row>
    <row r="76" spans="1:20" ht="15.75" customHeight="1">
      <c r="A76" s="2"/>
      <c r="B76" s="21"/>
      <c r="C76" s="21" t="s">
        <v>55</v>
      </c>
      <c r="D76" s="2"/>
      <c r="E76" s="2"/>
      <c r="F76" s="3">
        <f>SOO!R52</f>
        <v>136800</v>
      </c>
      <c r="G76" s="4">
        <f t="shared" si="0"/>
        <v>0.31540596122079506</v>
      </c>
      <c r="H76" s="2"/>
      <c r="I76" s="3">
        <f>SOO!AE52</f>
        <v>137874</v>
      </c>
      <c r="J76" s="4">
        <f t="shared" si="1"/>
        <v>0.27641928233762963</v>
      </c>
      <c r="K76" s="2"/>
      <c r="L76" s="3">
        <f>SOO!AR52</f>
        <v>138989.1</v>
      </c>
      <c r="M76" s="4">
        <f t="shared" si="2"/>
        <v>0.24357946813626274</v>
      </c>
      <c r="N76" s="2"/>
      <c r="O76" s="3">
        <f>SOO!BE52</f>
        <v>140146.89780000001</v>
      </c>
      <c r="P76" s="4">
        <f t="shared" si="3"/>
        <v>0.2339128739973558</v>
      </c>
      <c r="Q76" s="2"/>
      <c r="R76" s="3">
        <f>SOO!BR52</f>
        <v>141349.05391800002</v>
      </c>
      <c r="S76" s="4">
        <f t="shared" si="4"/>
        <v>0.21604335038556835</v>
      </c>
      <c r="T76" s="2"/>
    </row>
    <row r="77" spans="1:20" ht="15.75" customHeight="1">
      <c r="A77" s="2"/>
      <c r="B77" s="21"/>
      <c r="C77" s="21" t="s">
        <v>56</v>
      </c>
      <c r="D77" s="24"/>
      <c r="E77" s="24"/>
      <c r="F77" s="3">
        <f>SOO!R53</f>
        <v>15000</v>
      </c>
      <c r="G77" s="4">
        <f t="shared" si="0"/>
        <v>3.4583986975964376E-2</v>
      </c>
      <c r="H77" s="2"/>
      <c r="I77" s="3">
        <f>SOO!AE53</f>
        <v>15000</v>
      </c>
      <c r="J77" s="4">
        <f t="shared" si="1"/>
        <v>3.0073032153012498E-2</v>
      </c>
      <c r="K77" s="2"/>
      <c r="L77" s="3">
        <f>SOO!AR53</f>
        <v>15000</v>
      </c>
      <c r="M77" s="4">
        <f t="shared" si="2"/>
        <v>2.6287615518367561E-2</v>
      </c>
      <c r="N77" s="2"/>
      <c r="O77" s="3">
        <f>SOO!BE53</f>
        <v>15000</v>
      </c>
      <c r="P77" s="4">
        <f t="shared" si="3"/>
        <v>2.5035824303207208E-2</v>
      </c>
      <c r="Q77" s="2"/>
      <c r="R77" s="3">
        <f>SOO!BR53</f>
        <v>15000</v>
      </c>
      <c r="S77" s="4">
        <f t="shared" si="4"/>
        <v>2.2926579032241025E-2</v>
      </c>
      <c r="T77" s="2"/>
    </row>
    <row r="78" spans="1:20" ht="15.75" customHeight="1">
      <c r="A78" s="1"/>
      <c r="B78" s="21"/>
      <c r="C78" s="21" t="s">
        <v>57</v>
      </c>
      <c r="D78" s="24"/>
      <c r="E78" s="24"/>
      <c r="F78" s="3">
        <f>SOO!R54</f>
        <v>2400</v>
      </c>
      <c r="G78" s="4">
        <f t="shared" si="0"/>
        <v>5.5334379161542996E-3</v>
      </c>
      <c r="H78" s="2"/>
      <c r="I78" s="3">
        <f>SOO!AE54</f>
        <v>2400</v>
      </c>
      <c r="J78" s="4">
        <f t="shared" si="1"/>
        <v>4.8116851444819997E-3</v>
      </c>
      <c r="K78" s="2"/>
      <c r="L78" s="3">
        <f>SOO!AR54</f>
        <v>2400</v>
      </c>
      <c r="M78" s="4">
        <f t="shared" si="2"/>
        <v>4.2060184829388102E-3</v>
      </c>
      <c r="N78" s="2"/>
      <c r="O78" s="3">
        <f>SOO!BE54</f>
        <v>2400</v>
      </c>
      <c r="P78" s="4">
        <f t="shared" si="3"/>
        <v>4.005731888513153E-3</v>
      </c>
      <c r="Q78" s="2"/>
      <c r="R78" s="3">
        <f>SOO!BR54</f>
        <v>2400</v>
      </c>
      <c r="S78" s="4">
        <f t="shared" si="4"/>
        <v>3.6682526451585636E-3</v>
      </c>
      <c r="T78" s="2"/>
    </row>
    <row r="79" spans="1:20" ht="15.75" customHeight="1">
      <c r="A79" s="2"/>
      <c r="B79" s="21"/>
      <c r="C79" s="21" t="s">
        <v>58</v>
      </c>
      <c r="D79" s="24"/>
      <c r="E79" s="24"/>
      <c r="F79" s="3"/>
      <c r="G79" s="4"/>
      <c r="H79" s="2"/>
      <c r="I79" s="3"/>
      <c r="J79" s="4"/>
      <c r="K79" s="2"/>
      <c r="L79" s="3"/>
      <c r="M79" s="4"/>
      <c r="N79" s="2"/>
      <c r="O79" s="3"/>
      <c r="P79" s="4"/>
      <c r="Q79" s="2"/>
      <c r="R79" s="3"/>
      <c r="S79" s="4"/>
      <c r="T79" s="2"/>
    </row>
    <row r="80" spans="1:20" ht="15.75" customHeight="1">
      <c r="A80" s="1"/>
      <c r="B80" s="21"/>
      <c r="C80" s="21"/>
      <c r="D80" s="2" t="s">
        <v>59</v>
      </c>
      <c r="E80" s="2"/>
      <c r="F80" s="3">
        <f>SOO!R56</f>
        <v>6600</v>
      </c>
      <c r="G80" s="4">
        <f t="shared" ref="G80:G88" si="5">F80/F$53</f>
        <v>1.5216954269424324E-2</v>
      </c>
      <c r="H80" s="2"/>
      <c r="I80" s="3">
        <f>SOO!AE56</f>
        <v>7260</v>
      </c>
      <c r="J80" s="4">
        <f t="shared" ref="J80:J88" si="6">I80/I$53</f>
        <v>1.4555347562058047E-2</v>
      </c>
      <c r="K80" s="2"/>
      <c r="L80" s="3">
        <f>SOO!AR56</f>
        <v>7804.5</v>
      </c>
      <c r="M80" s="4">
        <f t="shared" ref="M80:M88" si="7">L80/L$53</f>
        <v>1.3677446354206643E-2</v>
      </c>
      <c r="N80" s="2"/>
      <c r="O80" s="3">
        <f>SOO!BE56</f>
        <v>8194.7250000000004</v>
      </c>
      <c r="P80" s="4">
        <f t="shared" ref="P80:P88" si="8">O80/O$53</f>
        <v>1.3677446354206646E-2</v>
      </c>
      <c r="Q80" s="2"/>
      <c r="R80" s="3">
        <f>SOO!BR56</f>
        <v>8399.5931250000012</v>
      </c>
      <c r="S80" s="4">
        <f t="shared" ref="S80:S88" si="9">R80/R$53</f>
        <v>1.2838262374598725E-2</v>
      </c>
      <c r="T80" s="2"/>
    </row>
    <row r="81" spans="1:20" ht="15.75" customHeight="1">
      <c r="A81" s="2"/>
      <c r="B81" s="21"/>
      <c r="C81" s="21"/>
      <c r="D81" s="2" t="s">
        <v>60</v>
      </c>
      <c r="E81" s="2"/>
      <c r="F81" s="3">
        <f>SOO!R57</f>
        <v>6200</v>
      </c>
      <c r="G81" s="4">
        <f t="shared" si="5"/>
        <v>1.429471461673194E-2</v>
      </c>
      <c r="H81" s="2"/>
      <c r="I81" s="3">
        <f>SOO!AE57</f>
        <v>1260</v>
      </c>
      <c r="J81" s="4">
        <f t="shared" si="6"/>
        <v>2.5261347008530498E-3</v>
      </c>
      <c r="K81" s="2"/>
      <c r="L81" s="3">
        <f>SOO!AR57</f>
        <v>1323</v>
      </c>
      <c r="M81" s="4">
        <f t="shared" si="7"/>
        <v>2.3185676887200191E-3</v>
      </c>
      <c r="N81" s="2"/>
      <c r="O81" s="3">
        <f>SOO!BE57</f>
        <v>1389.1500000000003</v>
      </c>
      <c r="P81" s="4">
        <f t="shared" si="8"/>
        <v>2.3185676887200199E-3</v>
      </c>
      <c r="Q81" s="2"/>
      <c r="R81" s="3">
        <f>SOO!BR57</f>
        <v>1458.6075000000003</v>
      </c>
      <c r="S81" s="4">
        <f t="shared" si="9"/>
        <v>2.2293920083846339E-3</v>
      </c>
      <c r="T81" s="2"/>
    </row>
    <row r="82" spans="1:20" ht="15.75" customHeight="1">
      <c r="A82" s="2"/>
      <c r="B82" s="21"/>
      <c r="C82" s="21"/>
      <c r="D82" s="2" t="s">
        <v>61</v>
      </c>
      <c r="E82" s="2"/>
      <c r="F82" s="3">
        <f>SOO!R58</f>
        <v>1200</v>
      </c>
      <c r="G82" s="4">
        <f t="shared" si="5"/>
        <v>2.7667189580771498E-3</v>
      </c>
      <c r="H82" s="2"/>
      <c r="I82" s="3">
        <f>SOO!AE58</f>
        <v>1260</v>
      </c>
      <c r="J82" s="4">
        <f t="shared" si="6"/>
        <v>2.5261347008530498E-3</v>
      </c>
      <c r="K82" s="2"/>
      <c r="L82" s="3">
        <f>SOO!AR58</f>
        <v>1323</v>
      </c>
      <c r="M82" s="4">
        <f t="shared" si="7"/>
        <v>2.3185676887200191E-3</v>
      </c>
      <c r="N82" s="2"/>
      <c r="O82" s="3">
        <f>SOO!BE58</f>
        <v>1389.1500000000003</v>
      </c>
      <c r="P82" s="4">
        <f t="shared" si="8"/>
        <v>2.3185676887200199E-3</v>
      </c>
      <c r="Q82" s="2"/>
      <c r="R82" s="3">
        <f>SOO!BR58</f>
        <v>1458.6075000000003</v>
      </c>
      <c r="S82" s="4">
        <f t="shared" si="9"/>
        <v>2.2293920083846339E-3</v>
      </c>
      <c r="T82" s="2"/>
    </row>
    <row r="83" spans="1:20" ht="15.75" customHeight="1">
      <c r="A83" s="2"/>
      <c r="B83" s="21"/>
      <c r="C83" s="21" t="s">
        <v>62</v>
      </c>
      <c r="D83" s="2"/>
      <c r="E83" s="2"/>
      <c r="F83" s="3">
        <f>SOO!R59</f>
        <v>6000</v>
      </c>
      <c r="G83" s="4">
        <f t="shared" si="5"/>
        <v>1.3833594790385749E-2</v>
      </c>
      <c r="H83" s="2"/>
      <c r="I83" s="3">
        <f>SOO!AE59</f>
        <v>6300</v>
      </c>
      <c r="J83" s="4">
        <f t="shared" si="6"/>
        <v>1.2630673504265248E-2</v>
      </c>
      <c r="K83" s="2"/>
      <c r="L83" s="3">
        <f>SOO!AR59</f>
        <v>6930</v>
      </c>
      <c r="M83" s="4">
        <f t="shared" si="7"/>
        <v>1.2144878369485813E-2</v>
      </c>
      <c r="N83" s="2"/>
      <c r="O83" s="3">
        <f>SOO!BE59</f>
        <v>7796.25</v>
      </c>
      <c r="P83" s="4">
        <f t="shared" si="8"/>
        <v>1.3012369681591945E-2</v>
      </c>
      <c r="Q83" s="2"/>
      <c r="R83" s="3">
        <f>SOO!BR59</f>
        <v>8965.6874999999982</v>
      </c>
      <c r="S83" s="4">
        <f t="shared" si="9"/>
        <v>1.370350286980836E-2</v>
      </c>
      <c r="T83" s="2"/>
    </row>
    <row r="84" spans="1:20" ht="15.75" customHeight="1">
      <c r="A84" s="2"/>
      <c r="B84" s="21"/>
      <c r="C84" s="21" t="s">
        <v>63</v>
      </c>
      <c r="D84" s="2"/>
      <c r="E84" s="2"/>
      <c r="F84" s="3">
        <f>SOO!R60</f>
        <v>0</v>
      </c>
      <c r="G84" s="4">
        <f t="shared" si="5"/>
        <v>0</v>
      </c>
      <c r="H84" s="2"/>
      <c r="I84" s="3">
        <f>SOO!AE60</f>
        <v>0</v>
      </c>
      <c r="J84" s="4">
        <f t="shared" si="6"/>
        <v>0</v>
      </c>
      <c r="K84" s="2"/>
      <c r="L84" s="3">
        <f>SOO!AR60</f>
        <v>0</v>
      </c>
      <c r="M84" s="4">
        <f t="shared" si="7"/>
        <v>0</v>
      </c>
      <c r="N84" s="2"/>
      <c r="O84" s="3">
        <f>SOO!BE60</f>
        <v>0</v>
      </c>
      <c r="P84" s="4">
        <f t="shared" si="8"/>
        <v>0</v>
      </c>
      <c r="Q84" s="2"/>
      <c r="R84" s="3">
        <f>SOO!BR60</f>
        <v>0</v>
      </c>
      <c r="S84" s="4">
        <f t="shared" si="9"/>
        <v>0</v>
      </c>
      <c r="T84" s="2"/>
    </row>
    <row r="85" spans="1:20" ht="15.75" customHeight="1">
      <c r="A85" s="2"/>
      <c r="B85" s="21"/>
      <c r="C85" s="24" t="s">
        <v>64</v>
      </c>
      <c r="D85" s="24"/>
      <c r="E85" s="24"/>
      <c r="F85" s="3">
        <f>SOO!R61</f>
        <v>2400</v>
      </c>
      <c r="G85" s="4">
        <f t="shared" si="5"/>
        <v>5.5334379161542996E-3</v>
      </c>
      <c r="H85" s="2"/>
      <c r="I85" s="3">
        <f>SOO!AE61</f>
        <v>2520</v>
      </c>
      <c r="J85" s="4">
        <f t="shared" si="6"/>
        <v>5.0522694017060997E-3</v>
      </c>
      <c r="K85" s="2"/>
      <c r="L85" s="3">
        <f>SOO!AR61</f>
        <v>2646</v>
      </c>
      <c r="M85" s="4">
        <f t="shared" si="7"/>
        <v>4.6371353774400381E-3</v>
      </c>
      <c r="N85" s="2"/>
      <c r="O85" s="3">
        <f>SOO!BE61</f>
        <v>2778.3000000000006</v>
      </c>
      <c r="P85" s="4">
        <f t="shared" si="8"/>
        <v>4.6371353774400399E-3</v>
      </c>
      <c r="Q85" s="2"/>
      <c r="R85" s="3">
        <f>SOO!BR61</f>
        <v>2917.2150000000006</v>
      </c>
      <c r="S85" s="4">
        <f t="shared" si="9"/>
        <v>4.4587840167692678E-3</v>
      </c>
      <c r="T85" s="2"/>
    </row>
    <row r="86" spans="1:20" ht="15.75" customHeight="1">
      <c r="A86" s="1"/>
      <c r="B86" s="21"/>
      <c r="C86" s="24" t="s">
        <v>65</v>
      </c>
      <c r="D86" s="24"/>
      <c r="E86" s="2"/>
      <c r="F86" s="3">
        <f>SOO!R62</f>
        <v>4800</v>
      </c>
      <c r="G86" s="4">
        <f t="shared" si="5"/>
        <v>1.1066875832308599E-2</v>
      </c>
      <c r="H86" s="2"/>
      <c r="I86" s="3">
        <f>SOO!AE62</f>
        <v>5040</v>
      </c>
      <c r="J86" s="4">
        <f t="shared" si="6"/>
        <v>1.0104538803412199E-2</v>
      </c>
      <c r="K86" s="2"/>
      <c r="L86" s="3">
        <f>SOO!AR62</f>
        <v>5241.6000000000013</v>
      </c>
      <c r="M86" s="4">
        <f t="shared" si="7"/>
        <v>9.1859443667383633E-3</v>
      </c>
      <c r="N86" s="2"/>
      <c r="O86" s="3">
        <f>SOO!BE62</f>
        <v>5372.6399999999994</v>
      </c>
      <c r="P86" s="4">
        <f t="shared" si="8"/>
        <v>8.9672314056255444E-3</v>
      </c>
      <c r="Q86" s="2"/>
      <c r="R86" s="3">
        <f>SOO!BR62</f>
        <v>5480.0927999999994</v>
      </c>
      <c r="S86" s="4">
        <f t="shared" si="9"/>
        <v>8.3759853788809985E-3</v>
      </c>
      <c r="T86" s="2"/>
    </row>
    <row r="87" spans="1:20" ht="15.75" customHeight="1">
      <c r="A87" s="1"/>
      <c r="B87" s="21"/>
      <c r="C87" s="24" t="s">
        <v>66</v>
      </c>
      <c r="D87" s="24"/>
      <c r="E87" s="2"/>
      <c r="F87" s="3">
        <f>SOO!R63</f>
        <v>1200</v>
      </c>
      <c r="G87" s="4">
        <f t="shared" si="5"/>
        <v>2.7667189580771498E-3</v>
      </c>
      <c r="H87" s="2"/>
      <c r="I87" s="3">
        <f>SOO!AE63</f>
        <v>1296</v>
      </c>
      <c r="J87" s="4">
        <f t="shared" si="6"/>
        <v>2.5983099780202798E-3</v>
      </c>
      <c r="K87" s="2"/>
      <c r="L87" s="3">
        <f>SOO!AR63</f>
        <v>1360.8000000000002</v>
      </c>
      <c r="M87" s="4">
        <f t="shared" si="7"/>
        <v>2.3848124798263055E-3</v>
      </c>
      <c r="N87" s="2"/>
      <c r="O87" s="3">
        <f>SOO!BE63</f>
        <v>1394.8199999999997</v>
      </c>
      <c r="P87" s="4">
        <f t="shared" si="8"/>
        <v>2.3280312303066313E-3</v>
      </c>
      <c r="Q87" s="2"/>
      <c r="R87" s="3">
        <f>SOO!BR63</f>
        <v>1422.7164</v>
      </c>
      <c r="S87" s="4">
        <f t="shared" si="9"/>
        <v>2.1745346656710288E-3</v>
      </c>
      <c r="T87" s="2"/>
    </row>
    <row r="88" spans="1:20" ht="15.75" customHeight="1">
      <c r="A88" s="2"/>
      <c r="B88" s="27"/>
      <c r="C88" s="27"/>
      <c r="D88" s="27"/>
      <c r="E88" s="23" t="s">
        <v>67</v>
      </c>
      <c r="F88" s="18">
        <f>SUM(F65:F87)</f>
        <v>311342.35743238928</v>
      </c>
      <c r="G88" s="22">
        <f t="shared" si="5"/>
        <v>0.71783066896718639</v>
      </c>
      <c r="H88" s="2"/>
      <c r="I88" s="18">
        <f>SUM(I65:I87)</f>
        <v>345037.07104724768</v>
      </c>
      <c r="J88" s="22">
        <f t="shared" si="6"/>
        <v>0.6917540621056758</v>
      </c>
      <c r="K88" s="2"/>
      <c r="L88" s="18">
        <f>SUM(L65:L87)</f>
        <v>365739.02503805136</v>
      </c>
      <c r="M88" s="22">
        <f t="shared" si="7"/>
        <v>0.64096045801752677</v>
      </c>
      <c r="N88" s="2"/>
      <c r="O88" s="18">
        <f>SUM(O65:O87)</f>
        <v>380000.47633395391</v>
      </c>
      <c r="P88" s="22">
        <f t="shared" si="8"/>
        <v>0.63424167737546122</v>
      </c>
      <c r="Q88" s="2"/>
      <c r="R88" s="18">
        <f>SUM(R65:R87)</f>
        <v>417424.78279138968</v>
      </c>
      <c r="S88" s="22">
        <f t="shared" si="9"/>
        <v>0.63800815151218926</v>
      </c>
      <c r="T88" s="2"/>
    </row>
    <row r="89" spans="1:20" ht="15.75" customHeight="1">
      <c r="A89" s="2"/>
      <c r="B89" s="24"/>
      <c r="C89" s="24"/>
      <c r="D89" s="24"/>
      <c r="E89" s="28"/>
      <c r="F89" s="3"/>
      <c r="G89" s="4"/>
      <c r="H89" s="2"/>
      <c r="I89" s="3"/>
      <c r="J89" s="4"/>
      <c r="K89" s="2"/>
      <c r="L89" s="3"/>
      <c r="M89" s="4"/>
      <c r="N89" s="2"/>
      <c r="O89" s="3"/>
      <c r="P89" s="4"/>
      <c r="Q89" s="2"/>
      <c r="R89" s="3"/>
      <c r="S89" s="4"/>
      <c r="T89" s="2"/>
    </row>
    <row r="90" spans="1:20" ht="15.75" customHeight="1">
      <c r="A90" s="1"/>
      <c r="B90" s="23" t="s">
        <v>68</v>
      </c>
      <c r="C90" s="27"/>
      <c r="D90" s="27"/>
      <c r="E90" s="29"/>
      <c r="F90" s="3">
        <f>F61-F88</f>
        <v>68454.967446786643</v>
      </c>
      <c r="G90" s="4">
        <f>F90/F$53</f>
        <v>0.15782971350798228</v>
      </c>
      <c r="H90" s="2"/>
      <c r="I90" s="3">
        <f>I61-I88</f>
        <v>95637.480549799802</v>
      </c>
      <c r="J90" s="4">
        <f>I90/I$53</f>
        <v>0.19174060184048244</v>
      </c>
      <c r="K90" s="2"/>
      <c r="L90" s="3">
        <f>L61-L88</f>
        <v>123244.90427376691</v>
      </c>
      <c r="M90" s="4">
        <f>L90/L$53</f>
        <v>0.21598764387645331</v>
      </c>
      <c r="N90" s="2"/>
      <c r="O90" s="3">
        <f>O61-O88</f>
        <v>130226.76794043882</v>
      </c>
      <c r="P90" s="4">
        <f>O90/O$53</f>
        <v>0.21735563211542422</v>
      </c>
      <c r="Q90" s="2"/>
      <c r="R90" s="3">
        <f>R61-R88</f>
        <v>154549.90544597799</v>
      </c>
      <c r="S90" s="4">
        <f>R90/R$53</f>
        <v>0.23622004144217279</v>
      </c>
      <c r="T90" s="2"/>
    </row>
    <row r="91" spans="1:20" ht="15.75" customHeight="1">
      <c r="A91" s="2"/>
      <c r="B91" s="28"/>
      <c r="C91" s="24"/>
      <c r="D91" s="24"/>
      <c r="E91" s="21"/>
      <c r="F91" s="3"/>
      <c r="G91" s="4"/>
      <c r="H91" s="2"/>
      <c r="I91" s="3"/>
      <c r="J91" s="4"/>
      <c r="K91" s="2"/>
      <c r="L91" s="3"/>
      <c r="M91" s="4"/>
      <c r="N91" s="2"/>
      <c r="O91" s="3"/>
      <c r="P91" s="4"/>
      <c r="Q91" s="2"/>
      <c r="R91" s="3"/>
      <c r="S91" s="4"/>
      <c r="T91" s="2"/>
    </row>
    <row r="92" spans="1:20" ht="15.75" customHeight="1">
      <c r="A92" s="2"/>
      <c r="B92" s="23" t="s">
        <v>69</v>
      </c>
      <c r="C92" s="24"/>
      <c r="D92" s="24"/>
      <c r="E92" s="21"/>
      <c r="F92" s="3"/>
      <c r="G92" s="4"/>
      <c r="H92" s="2"/>
      <c r="I92" s="3"/>
      <c r="J92" s="4"/>
      <c r="K92" s="2"/>
      <c r="L92" s="3"/>
      <c r="M92" s="4"/>
      <c r="N92" s="2"/>
      <c r="O92" s="3"/>
      <c r="P92" s="4"/>
      <c r="Q92" s="2"/>
      <c r="R92" s="3"/>
      <c r="S92" s="4"/>
      <c r="T92" s="2"/>
    </row>
    <row r="93" spans="1:20" ht="15.75" customHeight="1">
      <c r="A93" s="2"/>
      <c r="B93" s="28"/>
      <c r="C93" s="24" t="s">
        <v>70</v>
      </c>
      <c r="D93" s="24"/>
      <c r="E93" s="21"/>
      <c r="F93" s="3">
        <f>SOO!R76</f>
        <v>0</v>
      </c>
      <c r="G93" s="4">
        <f>F93/F$53</f>
        <v>0</v>
      </c>
      <c r="H93" s="2"/>
      <c r="I93" s="3">
        <f>SOO!AE76</f>
        <v>0</v>
      </c>
      <c r="J93" s="4">
        <f>I93/I$53</f>
        <v>0</v>
      </c>
      <c r="K93" s="2"/>
      <c r="L93" s="3">
        <f>SOO!AR76</f>
        <v>0</v>
      </c>
      <c r="M93" s="4">
        <f>L93/L$53</f>
        <v>0</v>
      </c>
      <c r="N93" s="2"/>
      <c r="O93" s="3">
        <f>SOO!BE76</f>
        <v>0</v>
      </c>
      <c r="P93" s="4">
        <f>O93/O$53</f>
        <v>0</v>
      </c>
      <c r="Q93" s="2"/>
      <c r="R93" s="3">
        <f>SOO!BR76</f>
        <v>0</v>
      </c>
      <c r="S93" s="4">
        <f>R93/R$53</f>
        <v>0</v>
      </c>
      <c r="T93" s="2"/>
    </row>
    <row r="94" spans="1:20" ht="15.75" customHeight="1">
      <c r="A94" s="2"/>
      <c r="B94" s="28"/>
      <c r="C94" s="24"/>
      <c r="D94" s="27" t="s">
        <v>71</v>
      </c>
      <c r="E94" s="21"/>
      <c r="F94" s="18">
        <f>SOO!R77</f>
        <v>0</v>
      </c>
      <c r="G94" s="22">
        <f>F94/F$53</f>
        <v>0</v>
      </c>
      <c r="H94" s="2"/>
      <c r="I94" s="18">
        <f>SOO!AE77</f>
        <v>0</v>
      </c>
      <c r="J94" s="22">
        <f>I94/I$53</f>
        <v>0</v>
      </c>
      <c r="K94" s="2"/>
      <c r="L94" s="18">
        <f>SOO!AR77</f>
        <v>0</v>
      </c>
      <c r="M94" s="22">
        <f>L94/L$53</f>
        <v>0</v>
      </c>
      <c r="N94" s="2"/>
      <c r="O94" s="18">
        <f>SOO!BE77</f>
        <v>0</v>
      </c>
      <c r="P94" s="22">
        <f>O94/O$53</f>
        <v>0</v>
      </c>
      <c r="Q94" s="2"/>
      <c r="R94" s="18">
        <f>SOO!BR77</f>
        <v>0</v>
      </c>
      <c r="S94" s="22">
        <f>R94/R$53</f>
        <v>0</v>
      </c>
      <c r="T94" s="2"/>
    </row>
    <row r="95" spans="1:20" ht="15.75" customHeight="1">
      <c r="A95" s="2"/>
      <c r="B95" s="28"/>
      <c r="C95" s="24"/>
      <c r="D95" s="24"/>
      <c r="E95" s="21"/>
      <c r="F95" s="3"/>
      <c r="G95" s="4"/>
      <c r="H95" s="2"/>
      <c r="I95" s="3"/>
      <c r="J95" s="4"/>
      <c r="K95" s="2"/>
      <c r="L95" s="3"/>
      <c r="M95" s="4"/>
      <c r="N95" s="2"/>
      <c r="O95" s="3"/>
      <c r="P95" s="4"/>
      <c r="Q95" s="2"/>
      <c r="R95" s="3"/>
      <c r="S95" s="4"/>
      <c r="T95" s="2"/>
    </row>
    <row r="96" spans="1:20" ht="15.75" customHeight="1">
      <c r="A96" s="2"/>
      <c r="B96" s="23" t="s">
        <v>72</v>
      </c>
      <c r="C96" s="24"/>
      <c r="D96" s="24"/>
      <c r="E96" s="21"/>
      <c r="F96" s="3">
        <f>F90+F93</f>
        <v>68454.967446786643</v>
      </c>
      <c r="G96" s="4">
        <f>F96/F$53</f>
        <v>0.15782971350798228</v>
      </c>
      <c r="H96" s="2"/>
      <c r="I96" s="3">
        <f>I90+I93</f>
        <v>95637.480549799802</v>
      </c>
      <c r="J96" s="4">
        <f>I96/I$53</f>
        <v>0.19174060184048244</v>
      </c>
      <c r="K96" s="2"/>
      <c r="L96" s="3">
        <f>L90+L93</f>
        <v>123244.90427376691</v>
      </c>
      <c r="M96" s="4">
        <f>L96/L$53</f>
        <v>0.21598764387645331</v>
      </c>
      <c r="N96" s="2"/>
      <c r="O96" s="3">
        <f>O90+O93</f>
        <v>130226.76794043882</v>
      </c>
      <c r="P96" s="4">
        <f>O96/O$53</f>
        <v>0.21735563211542422</v>
      </c>
      <c r="Q96" s="2"/>
      <c r="R96" s="3">
        <f>R90+R93</f>
        <v>154549.90544597799</v>
      </c>
      <c r="S96" s="4">
        <f>R96/R$53</f>
        <v>0.23622004144217279</v>
      </c>
      <c r="T96" s="2"/>
    </row>
    <row r="97" spans="1:20" ht="15.75" customHeight="1">
      <c r="A97" s="2"/>
      <c r="B97" s="23"/>
      <c r="C97" s="24"/>
      <c r="D97" s="24"/>
      <c r="E97" s="21"/>
      <c r="F97" s="3"/>
      <c r="G97" s="4"/>
      <c r="H97" s="2"/>
      <c r="I97" s="3"/>
      <c r="J97" s="4"/>
      <c r="K97" s="2"/>
      <c r="L97" s="3"/>
      <c r="M97" s="4"/>
      <c r="N97" s="2"/>
      <c r="O97" s="3"/>
      <c r="P97" s="4"/>
      <c r="Q97" s="2"/>
      <c r="R97" s="3"/>
      <c r="S97" s="4"/>
      <c r="T97" s="2"/>
    </row>
    <row r="98" spans="1:20" ht="15.75" customHeight="1">
      <c r="A98" s="2"/>
      <c r="B98" s="23" t="s">
        <v>73</v>
      </c>
      <c r="C98" s="24"/>
      <c r="D98" s="24"/>
      <c r="E98" s="21"/>
      <c r="F98" s="3">
        <f>SOO!R81</f>
        <v>15133.741861696675</v>
      </c>
      <c r="G98" s="4">
        <f>F98/F$53</f>
        <v>3.4892342096168309E-2</v>
      </c>
      <c r="H98" s="2"/>
      <c r="I98" s="3">
        <f>SOO!AE81</f>
        <v>21632.370137449958</v>
      </c>
      <c r="J98" s="4">
        <f>I98/I$53</f>
        <v>4.337006417929333E-2</v>
      </c>
      <c r="K98" s="2"/>
      <c r="L98" s="3">
        <f>SOO!AR81</f>
        <v>28306.526068441693</v>
      </c>
      <c r="M98" s="4">
        <f>L98/L$53</f>
        <v>4.9607404929856255E-2</v>
      </c>
      <c r="N98" s="2"/>
      <c r="O98" s="3">
        <f>SOO!BE81</f>
        <v>29926.756985109711</v>
      </c>
      <c r="P98" s="4">
        <f>O98/O$53</f>
        <v>4.9949401989599053E-2</v>
      </c>
      <c r="Q98" s="2"/>
      <c r="R98" s="3">
        <f>SOO!BR81</f>
        <v>35876.044611494464</v>
      </c>
      <c r="S98" s="4">
        <f>R98/R$53</f>
        <v>5.483433147664217E-2</v>
      </c>
      <c r="T98" s="2"/>
    </row>
    <row r="99" spans="1:20" ht="15.75" customHeight="1">
      <c r="A99" s="2"/>
      <c r="B99" s="28"/>
      <c r="C99" s="24"/>
      <c r="D99" s="24"/>
      <c r="E99" s="21"/>
      <c r="F99" s="3"/>
      <c r="G99" s="4"/>
      <c r="H99" s="2"/>
      <c r="I99" s="3"/>
      <c r="J99" s="4"/>
      <c r="K99" s="2"/>
      <c r="L99" s="3"/>
      <c r="M99" s="4"/>
      <c r="N99" s="2"/>
      <c r="O99" s="3"/>
      <c r="P99" s="4"/>
      <c r="Q99" s="2"/>
      <c r="R99" s="3"/>
      <c r="S99" s="4"/>
      <c r="T99" s="2"/>
    </row>
    <row r="100" spans="1:20" ht="15.75" customHeight="1">
      <c r="A100" s="2"/>
      <c r="B100" s="23" t="s">
        <v>74</v>
      </c>
      <c r="C100" s="24"/>
      <c r="D100" s="24"/>
      <c r="E100" s="21"/>
      <c r="F100" s="19">
        <f>F96-F98</f>
        <v>53321.225585089967</v>
      </c>
      <c r="G100" s="30">
        <f>F100/F$53</f>
        <v>0.12293737141181398</v>
      </c>
      <c r="H100" s="2"/>
      <c r="I100" s="19">
        <f>I96-I98</f>
        <v>74005.110412349837</v>
      </c>
      <c r="J100" s="30">
        <f>I100/I$53</f>
        <v>0.1483705376611891</v>
      </c>
      <c r="K100" s="2"/>
      <c r="L100" s="19">
        <f>L96-L98</f>
        <v>94938.378205325222</v>
      </c>
      <c r="M100" s="30">
        <f>L100/L$53</f>
        <v>0.16638023894659706</v>
      </c>
      <c r="N100" s="2"/>
      <c r="O100" s="19">
        <f>O96-O98</f>
        <v>100300.01095532911</v>
      </c>
      <c r="P100" s="30">
        <f>O100/O$53</f>
        <v>0.16740623012582517</v>
      </c>
      <c r="Q100" s="2"/>
      <c r="R100" s="19">
        <f>R96-R98</f>
        <v>118673.86083448352</v>
      </c>
      <c r="S100" s="30">
        <f>R100/R$53</f>
        <v>0.18138570996553061</v>
      </c>
      <c r="T100" s="2"/>
    </row>
    <row r="101" spans="1:20" ht="15.75" customHeight="1">
      <c r="A101" s="2"/>
      <c r="B101" s="23"/>
      <c r="C101" s="24"/>
      <c r="D101" s="24"/>
      <c r="E101" s="21"/>
      <c r="F101" s="3"/>
      <c r="G101" s="4"/>
      <c r="H101" s="2"/>
      <c r="I101" s="3"/>
      <c r="J101" s="4"/>
      <c r="K101" s="2"/>
      <c r="L101" s="3"/>
      <c r="M101" s="5"/>
      <c r="N101" s="2"/>
      <c r="O101" s="3"/>
      <c r="P101" s="5"/>
      <c r="Q101" s="2"/>
      <c r="R101" s="3"/>
      <c r="S101" s="5"/>
      <c r="T101" s="2"/>
    </row>
    <row r="102" spans="1:20" ht="15.75" customHeight="1">
      <c r="A102" s="2"/>
      <c r="B102" s="28"/>
      <c r="C102" s="24"/>
      <c r="D102" s="24"/>
      <c r="E102" s="21"/>
      <c r="F102" s="2"/>
      <c r="G102" s="2"/>
      <c r="H102" s="2"/>
      <c r="I102" s="3"/>
      <c r="J102" s="4"/>
      <c r="K102" s="2"/>
      <c r="L102" s="3"/>
      <c r="M102" s="5"/>
      <c r="N102" s="2"/>
      <c r="O102" s="3"/>
      <c r="P102" s="5"/>
      <c r="Q102" s="2"/>
      <c r="R102" s="3"/>
      <c r="S102" s="5"/>
      <c r="T102" s="2"/>
    </row>
    <row r="103" spans="1:20" ht="15.75" customHeight="1">
      <c r="A103" s="1" t="s">
        <v>75</v>
      </c>
      <c r="B103" s="2"/>
      <c r="C103" s="2"/>
      <c r="D103" s="2"/>
      <c r="E103" s="2"/>
      <c r="F103" s="2"/>
      <c r="G103" s="2"/>
      <c r="H103" s="2"/>
      <c r="I103" s="3"/>
      <c r="J103" s="4"/>
      <c r="K103" s="2"/>
      <c r="L103" s="3"/>
      <c r="M103" s="5"/>
      <c r="N103" s="2"/>
      <c r="O103" s="3"/>
      <c r="P103" s="5"/>
      <c r="Q103" s="2"/>
      <c r="R103" s="3"/>
      <c r="S103" s="5"/>
      <c r="T103" s="2"/>
    </row>
    <row r="104" spans="1:20" ht="15.75" customHeight="1">
      <c r="A104" s="6" t="s">
        <v>1</v>
      </c>
      <c r="B104" s="7"/>
      <c r="C104" s="7"/>
      <c r="D104" s="7"/>
      <c r="E104" s="7"/>
      <c r="F104" s="7"/>
      <c r="G104" s="7"/>
      <c r="H104" s="7"/>
      <c r="I104" s="8"/>
      <c r="J104" s="9"/>
      <c r="K104" s="7"/>
      <c r="L104" s="8"/>
      <c r="M104" s="10"/>
      <c r="N104" s="7"/>
      <c r="O104" s="8"/>
      <c r="P104" s="10"/>
      <c r="Q104" s="7"/>
      <c r="R104" s="8"/>
      <c r="S104" s="10"/>
      <c r="T104" s="7"/>
    </row>
    <row r="105" spans="1:20" ht="15.75" customHeight="1">
      <c r="A105" s="11"/>
      <c r="B105" s="11"/>
      <c r="C105" s="11"/>
      <c r="D105" s="11"/>
      <c r="E105" s="11"/>
      <c r="F105" s="12" t="s">
        <v>2</v>
      </c>
      <c r="G105" s="1"/>
      <c r="H105" s="1"/>
      <c r="I105" s="13" t="s">
        <v>3</v>
      </c>
      <c r="J105" s="14"/>
      <c r="K105" s="1"/>
      <c r="L105" s="13" t="s">
        <v>4</v>
      </c>
      <c r="M105" s="15"/>
      <c r="N105" s="1"/>
      <c r="O105" s="13" t="s">
        <v>5</v>
      </c>
      <c r="P105" s="15"/>
      <c r="Q105" s="1"/>
      <c r="R105" s="13" t="s">
        <v>6</v>
      </c>
      <c r="S105" s="15"/>
      <c r="T105" s="1"/>
    </row>
    <row r="106" spans="1:20" ht="15.75" customHeight="1">
      <c r="A106" s="1" t="s">
        <v>76</v>
      </c>
      <c r="B106" s="2"/>
      <c r="C106" s="2"/>
      <c r="D106" s="2"/>
      <c r="E106" s="2"/>
      <c r="F106" s="3"/>
      <c r="G106" s="2"/>
      <c r="H106" s="2"/>
      <c r="I106" s="3"/>
      <c r="J106" s="4"/>
      <c r="K106" s="2"/>
      <c r="L106" s="3"/>
      <c r="M106" s="5"/>
      <c r="N106" s="2"/>
      <c r="O106" s="3"/>
      <c r="P106" s="5"/>
      <c r="Q106" s="2"/>
      <c r="R106" s="3"/>
      <c r="S106" s="5"/>
      <c r="T106" s="2"/>
    </row>
    <row r="107" spans="1:20" ht="15.75" customHeight="1">
      <c r="A107" s="1"/>
      <c r="B107" s="2" t="s">
        <v>77</v>
      </c>
      <c r="C107" s="2"/>
      <c r="D107" s="2"/>
      <c r="E107" s="2"/>
      <c r="F107" s="3">
        <f>SUM(SOCF!G7:'SOCF'!R7)</f>
        <v>45401.225585090026</v>
      </c>
      <c r="G107" s="2"/>
      <c r="H107" s="2"/>
      <c r="I107" s="3">
        <f>SUM(SOCF!T7:'SOCF'!AE7)</f>
        <v>64897.110412349881</v>
      </c>
      <c r="J107" s="4"/>
      <c r="K107" s="2"/>
      <c r="L107" s="3">
        <f>SUM(SOCF!AG7:'SOCF'!AR7)</f>
        <v>84919.578205325102</v>
      </c>
      <c r="M107" s="5"/>
      <c r="N107" s="2"/>
      <c r="O107" s="3">
        <f>SUM(SOCF!AT7:'SOCF'!BE7)</f>
        <v>89780.270955329121</v>
      </c>
      <c r="P107" s="5"/>
      <c r="Q107" s="2"/>
      <c r="R107" s="3">
        <f>SUM(SOCF!BG7:'SOCF'!BR7)</f>
        <v>107628.13383448336</v>
      </c>
      <c r="S107" s="5"/>
      <c r="T107" s="2"/>
    </row>
    <row r="108" spans="1:20" ht="15.75" customHeight="1">
      <c r="A108" s="1"/>
      <c r="B108" s="2" t="s">
        <v>78</v>
      </c>
      <c r="C108" s="2"/>
      <c r="D108" s="2"/>
      <c r="E108" s="2"/>
      <c r="F108" s="3"/>
      <c r="G108" s="2"/>
      <c r="H108" s="2"/>
      <c r="I108" s="3"/>
      <c r="J108" s="4"/>
      <c r="K108" s="2"/>
      <c r="L108" s="3"/>
      <c r="M108" s="5"/>
      <c r="N108" s="2"/>
      <c r="O108" s="3"/>
      <c r="P108" s="5"/>
      <c r="Q108" s="2"/>
      <c r="R108" s="3"/>
      <c r="S108" s="5"/>
      <c r="T108" s="2"/>
    </row>
    <row r="109" spans="1:20" ht="15.75" customHeight="1">
      <c r="A109" s="1"/>
      <c r="B109" s="2" t="s">
        <v>79</v>
      </c>
      <c r="C109" s="2"/>
      <c r="D109" s="2"/>
      <c r="E109" s="2"/>
      <c r="F109" s="3"/>
      <c r="G109" s="2"/>
      <c r="H109" s="2"/>
      <c r="I109" s="3"/>
      <c r="J109" s="4"/>
      <c r="K109" s="2"/>
      <c r="L109" s="3"/>
      <c r="M109" s="5"/>
      <c r="N109" s="2"/>
      <c r="O109" s="3"/>
      <c r="P109" s="5"/>
      <c r="Q109" s="2"/>
      <c r="R109" s="3"/>
      <c r="S109" s="5"/>
      <c r="T109" s="2"/>
    </row>
    <row r="110" spans="1:20" ht="15.75" customHeight="1">
      <c r="A110" s="1"/>
      <c r="B110" s="2"/>
      <c r="C110" s="2" t="s">
        <v>48</v>
      </c>
      <c r="D110" s="2"/>
      <c r="E110" s="2"/>
      <c r="F110" s="3">
        <f>SUM(SOCF!G10:'SOCF'!R10)</f>
        <v>14460</v>
      </c>
      <c r="G110" s="2"/>
      <c r="H110" s="2"/>
      <c r="I110" s="3">
        <f>SUM(SOCF!T10:'SOCF'!AE10)</f>
        <v>14460</v>
      </c>
      <c r="J110" s="4"/>
      <c r="K110" s="2"/>
      <c r="L110" s="3">
        <f>SUM(SOCF!AG10:'SOCF'!AR10)</f>
        <v>14460</v>
      </c>
      <c r="M110" s="5"/>
      <c r="N110" s="2"/>
      <c r="O110" s="3">
        <f>SUM(SOCF!AT10:'SOCF'!BE10)</f>
        <v>14460</v>
      </c>
      <c r="P110" s="5"/>
      <c r="Q110" s="2"/>
      <c r="R110" s="3">
        <f>SUM(SOCF!BG10:'SOCF'!BR10)</f>
        <v>14460</v>
      </c>
      <c r="S110" s="5"/>
      <c r="T110" s="2"/>
    </row>
    <row r="111" spans="1:20" ht="15.75" customHeight="1">
      <c r="A111" s="1"/>
      <c r="B111" s="2"/>
      <c r="C111" s="2"/>
      <c r="D111" s="2"/>
      <c r="E111" s="2"/>
      <c r="F111" s="3"/>
      <c r="G111" s="2"/>
      <c r="H111" s="2"/>
      <c r="I111" s="3"/>
      <c r="J111" s="4"/>
      <c r="K111" s="2"/>
      <c r="L111" s="3"/>
      <c r="M111" s="5"/>
      <c r="N111" s="2"/>
      <c r="O111" s="3"/>
      <c r="P111" s="5"/>
      <c r="Q111" s="2"/>
      <c r="R111" s="3"/>
      <c r="S111" s="5"/>
      <c r="T111" s="2"/>
    </row>
    <row r="112" spans="1:20" ht="15.75" customHeight="1">
      <c r="A112" s="1"/>
      <c r="B112" s="2"/>
      <c r="C112" s="2" t="s">
        <v>80</v>
      </c>
      <c r="D112" s="2"/>
      <c r="E112" s="2"/>
      <c r="F112" s="3"/>
      <c r="G112" s="2"/>
      <c r="H112" s="2"/>
      <c r="I112" s="3"/>
      <c r="J112" s="4"/>
      <c r="K112" s="2"/>
      <c r="L112" s="3"/>
      <c r="M112" s="5"/>
      <c r="N112" s="2"/>
      <c r="O112" s="3"/>
      <c r="P112" s="5"/>
      <c r="Q112" s="2"/>
      <c r="R112" s="3"/>
      <c r="S112" s="5"/>
      <c r="T112" s="2"/>
    </row>
    <row r="113" spans="1:20" ht="15.75" customHeight="1">
      <c r="A113" s="1"/>
      <c r="B113" s="2"/>
      <c r="C113" s="2"/>
      <c r="D113" s="2" t="s">
        <v>10</v>
      </c>
      <c r="E113" s="2"/>
      <c r="F113" s="3">
        <f>SUM(SOCF!G13:'SOCF'!R13)</f>
        <v>-1006.9419086621546</v>
      </c>
      <c r="G113" s="2"/>
      <c r="H113" s="2"/>
      <c r="I113" s="3">
        <f>SUM(SOCF!T13:'SOCF'!AE13)</f>
        <v>-56.687100043202577</v>
      </c>
      <c r="J113" s="4"/>
      <c r="K113" s="2"/>
      <c r="L113" s="3">
        <f>SUM(SOCF!AG13:'SOCF'!AR13)</f>
        <v>-153.16257725357173</v>
      </c>
      <c r="M113" s="5"/>
      <c r="N113" s="2"/>
      <c r="O113" s="3">
        <f>SUM(SOCF!AT13:'SOCF'!BE13)</f>
        <v>-60.839579297946557</v>
      </c>
      <c r="P113" s="5"/>
      <c r="Q113" s="2"/>
      <c r="R113" s="3">
        <f>SUM(SOCF!BG13:'SOCF'!BR13)</f>
        <v>-117.54206720363231</v>
      </c>
      <c r="S113" s="5"/>
      <c r="T113" s="2"/>
    </row>
    <row r="114" spans="1:20" ht="15.75" customHeight="1">
      <c r="A114" s="1"/>
      <c r="B114" s="2"/>
      <c r="C114" s="2"/>
      <c r="D114" s="2" t="s">
        <v>11</v>
      </c>
      <c r="E114" s="2"/>
      <c r="F114" s="3">
        <f>SUM(SOCF!G14:'SOCF'!R14)</f>
        <v>-12760.315717306417</v>
      </c>
      <c r="G114" s="2"/>
      <c r="H114" s="2"/>
      <c r="I114" s="3">
        <f>SUM(SOCF!T14:'SOCF'!AE14)</f>
        <v>-1851.7303972970949</v>
      </c>
      <c r="J114" s="4"/>
      <c r="K114" s="2"/>
      <c r="L114" s="3">
        <f>SUM(SOCF!AG14:'SOCF'!AR14)</f>
        <v>-1823.0414534108531</v>
      </c>
      <c r="M114" s="5"/>
      <c r="N114" s="2"/>
      <c r="O114" s="3">
        <f>SUM(SOCF!AT14:'SOCF'!BE14)</f>
        <v>-927.37420189131808</v>
      </c>
      <c r="P114" s="5"/>
      <c r="Q114" s="2"/>
      <c r="R114" s="3">
        <f>SUM(SOCF!BG14:'SOCF'!BR14)</f>
        <v>-2360.1690928306525</v>
      </c>
      <c r="S114" s="5"/>
      <c r="T114" s="2"/>
    </row>
    <row r="115" spans="1:20" ht="15.75" customHeight="1">
      <c r="A115" s="1"/>
      <c r="B115" s="2"/>
      <c r="C115" s="2"/>
      <c r="D115" s="2" t="s">
        <v>12</v>
      </c>
      <c r="E115" s="2"/>
      <c r="F115" s="3">
        <f>SUM(SOCF!G15:'SOCF'!R15)</f>
        <v>0</v>
      </c>
      <c r="G115" s="2"/>
      <c r="H115" s="2"/>
      <c r="I115" s="3">
        <f>SUM(SOCF!T15:'SOCF'!AE15)</f>
        <v>0</v>
      </c>
      <c r="J115" s="4"/>
      <c r="K115" s="2"/>
      <c r="L115" s="3">
        <f>SUM(SOCF!AG15:'SOCF'!AR15)</f>
        <v>0</v>
      </c>
      <c r="M115" s="5"/>
      <c r="N115" s="2"/>
      <c r="O115" s="3">
        <f>SUM(SOCF!AT15:'SOCF'!BE15)</f>
        <v>0</v>
      </c>
      <c r="P115" s="5"/>
      <c r="Q115" s="2"/>
      <c r="R115" s="3">
        <f>SUM(SOCF!BG15:'SOCF'!BR15)</f>
        <v>0</v>
      </c>
      <c r="S115" s="5"/>
      <c r="T115" s="2"/>
    </row>
    <row r="116" spans="1:20" ht="15.75" customHeight="1">
      <c r="A116" s="1"/>
      <c r="B116" s="2"/>
      <c r="C116" s="2"/>
      <c r="D116" s="2" t="s">
        <v>15</v>
      </c>
      <c r="E116" s="2"/>
      <c r="F116" s="3">
        <f>SUM(SOCF!G16:'SOCF'!R16)</f>
        <v>0</v>
      </c>
      <c r="G116" s="2"/>
      <c r="H116" s="2"/>
      <c r="I116" s="3">
        <f>SUM(SOCF!T16:'SOCF'!AE16)</f>
        <v>0</v>
      </c>
      <c r="J116" s="4"/>
      <c r="K116" s="2"/>
      <c r="L116" s="3">
        <f>SUM(SOCF!AG16:'SOCF'!AR16)</f>
        <v>0</v>
      </c>
      <c r="M116" s="5"/>
      <c r="N116" s="2"/>
      <c r="O116" s="3">
        <f>SUM(SOCF!AT16:'SOCF'!BE16)</f>
        <v>0</v>
      </c>
      <c r="P116" s="5"/>
      <c r="Q116" s="2"/>
      <c r="R116" s="3">
        <f>SUM(SOCF!BG16:'SOCF'!BR16)</f>
        <v>0</v>
      </c>
      <c r="S116" s="5"/>
      <c r="T116" s="2"/>
    </row>
    <row r="117" spans="1:20" ht="15.75" customHeight="1">
      <c r="A117" s="1"/>
      <c r="B117" s="2"/>
      <c r="C117" s="2"/>
      <c r="D117" s="2" t="s">
        <v>81</v>
      </c>
      <c r="E117" s="2"/>
      <c r="F117" s="3">
        <f>SUM(SOCF!G17:'SOCF'!R17)</f>
        <v>63467.961564986923</v>
      </c>
      <c r="G117" s="2"/>
      <c r="H117" s="2"/>
      <c r="I117" s="3">
        <f>SUM(SOCF!T17:'SOCF'!AE17)</f>
        <v>5027.2196121799789</v>
      </c>
      <c r="J117" s="4"/>
      <c r="K117" s="2"/>
      <c r="L117" s="3">
        <f>SUM(SOCF!AG17:'SOCF'!AR17)</f>
        <v>5131.5587679264136</v>
      </c>
      <c r="M117" s="5"/>
      <c r="N117" s="2"/>
      <c r="O117" s="3">
        <f>SUM(SOCF!AT17:'SOCF'!BE17)</f>
        <v>2716.5813960702217</v>
      </c>
      <c r="P117" s="5"/>
      <c r="Q117" s="2"/>
      <c r="R117" s="3">
        <f>SUM(SOCF!BG17:'SOCF'!BR17)</f>
        <v>5703.8272756792285</v>
      </c>
      <c r="S117" s="5"/>
      <c r="T117" s="2"/>
    </row>
    <row r="118" spans="1:20" ht="15.75" customHeight="1">
      <c r="A118" s="1"/>
      <c r="B118" s="2"/>
      <c r="C118" s="2"/>
      <c r="D118" s="2" t="s">
        <v>20</v>
      </c>
      <c r="E118" s="2"/>
      <c r="F118" s="3">
        <f>SUM(SOCF!G18:'SOCF'!R18)</f>
        <v>0</v>
      </c>
      <c r="G118" s="2"/>
      <c r="H118" s="2"/>
      <c r="I118" s="3">
        <f>SUM(SOCF!T18:'SOCF'!AE18)</f>
        <v>0</v>
      </c>
      <c r="J118" s="4"/>
      <c r="K118" s="2"/>
      <c r="L118" s="3">
        <f>SUM(SOCF!AG18:'SOCF'!AR18)</f>
        <v>0</v>
      </c>
      <c r="M118" s="5"/>
      <c r="N118" s="2"/>
      <c r="O118" s="3">
        <f>SUM(SOCF!AT18:'SOCF'!BE18)</f>
        <v>0</v>
      </c>
      <c r="P118" s="5"/>
      <c r="Q118" s="2"/>
      <c r="R118" s="3">
        <f>SUM(SOCF!BG18:'SOCF'!BR18)</f>
        <v>0</v>
      </c>
      <c r="S118" s="5"/>
      <c r="T118" s="2"/>
    </row>
    <row r="119" spans="1:20" ht="15.75" customHeight="1">
      <c r="A119" s="1"/>
      <c r="B119" s="2"/>
      <c r="C119" s="2"/>
      <c r="D119" s="2" t="s">
        <v>21</v>
      </c>
      <c r="E119" s="2"/>
      <c r="F119" s="3">
        <f>SUM(SOCF!G19:'SOCF'!R19)</f>
        <v>0</v>
      </c>
      <c r="G119" s="2"/>
      <c r="H119" s="2"/>
      <c r="I119" s="3">
        <f>SUM(SOCF!T19:'SOCF'!AE19)</f>
        <v>0</v>
      </c>
      <c r="J119" s="4"/>
      <c r="K119" s="2"/>
      <c r="L119" s="3">
        <f>SUM(SOCF!AG19:'SOCF'!AR19)</f>
        <v>0</v>
      </c>
      <c r="M119" s="5"/>
      <c r="N119" s="2"/>
      <c r="O119" s="3">
        <f>SUM(SOCF!AT19:'SOCF'!BE19)</f>
        <v>0</v>
      </c>
      <c r="P119" s="5"/>
      <c r="Q119" s="2"/>
      <c r="R119" s="3">
        <f>SUM(SOCF!BG19:'SOCF'!BR19)</f>
        <v>0</v>
      </c>
      <c r="S119" s="5"/>
      <c r="T119" s="2"/>
    </row>
    <row r="120" spans="1:20" ht="15.75" customHeight="1">
      <c r="A120" s="1"/>
      <c r="B120" s="2"/>
      <c r="C120" s="2"/>
      <c r="D120" s="2" t="s">
        <v>22</v>
      </c>
      <c r="E120" s="2"/>
      <c r="F120" s="3">
        <f>SUM(SOCF!G20:'SOCF'!R20)</f>
        <v>15763.340065991253</v>
      </c>
      <c r="G120" s="2"/>
      <c r="H120" s="2"/>
      <c r="I120" s="3">
        <f>SUM(SOCF!T20:'SOCF'!AE20)</f>
        <v>2236.1578907744997</v>
      </c>
      <c r="J120" s="4"/>
      <c r="K120" s="2"/>
      <c r="L120" s="3">
        <f>SUM(SOCF!AG20:'SOCF'!AR20)</f>
        <v>2590.4207562818392</v>
      </c>
      <c r="M120" s="5"/>
      <c r="N120" s="2"/>
      <c r="O120" s="3">
        <f>SUM(SOCF!AT20:'SOCF'!BE20)</f>
        <v>1029.4959356523814</v>
      </c>
      <c r="P120" s="5"/>
      <c r="Q120" s="2"/>
      <c r="R120" s="3">
        <f>SUM(SOCF!BG20:'SOCF'!BR20)</f>
        <v>1987.3247358650005</v>
      </c>
      <c r="S120" s="5"/>
      <c r="T120" s="2"/>
    </row>
    <row r="121" spans="1:20" ht="15.75" customHeight="1">
      <c r="A121" s="1"/>
      <c r="B121" s="2"/>
      <c r="C121" s="2"/>
      <c r="D121" s="2" t="s">
        <v>23</v>
      </c>
      <c r="E121" s="2"/>
      <c r="F121" s="3">
        <f>SUM(SOCF!G21:'SOCF'!R21)</f>
        <v>0</v>
      </c>
      <c r="G121" s="2"/>
      <c r="H121" s="2"/>
      <c r="I121" s="3">
        <f>SUM(SOCF!T21:'SOCF'!AE21)</f>
        <v>0</v>
      </c>
      <c r="J121" s="4"/>
      <c r="K121" s="2"/>
      <c r="L121" s="3">
        <f>SUM(SOCF!AG21:'SOCF'!AR21)</f>
        <v>0</v>
      </c>
      <c r="M121" s="5"/>
      <c r="N121" s="2"/>
      <c r="O121" s="3">
        <f>SUM(SOCF!AT21:'SOCF'!BE21)</f>
        <v>0</v>
      </c>
      <c r="P121" s="5"/>
      <c r="Q121" s="2"/>
      <c r="R121" s="3">
        <f>SUM(SOCF!BG21:'SOCF'!BR21)</f>
        <v>0</v>
      </c>
      <c r="S121" s="5"/>
      <c r="T121" s="2"/>
    </row>
    <row r="122" spans="1:20" ht="15.75" customHeight="1">
      <c r="A122" s="1"/>
      <c r="B122" s="2"/>
      <c r="C122" s="2"/>
      <c r="D122" s="2"/>
      <c r="E122" s="2"/>
      <c r="F122" s="3"/>
      <c r="G122" s="2"/>
      <c r="H122" s="2"/>
      <c r="I122" s="3"/>
      <c r="J122" s="4"/>
      <c r="K122" s="2"/>
      <c r="L122" s="3"/>
      <c r="M122" s="5"/>
      <c r="N122" s="2"/>
      <c r="O122" s="3"/>
      <c r="P122" s="5"/>
      <c r="Q122" s="2"/>
      <c r="R122" s="3"/>
      <c r="S122" s="5"/>
      <c r="T122" s="2"/>
    </row>
    <row r="123" spans="1:20" ht="15.75" customHeight="1">
      <c r="A123" s="1"/>
      <c r="B123" s="2"/>
      <c r="C123" s="2"/>
      <c r="D123" s="2"/>
      <c r="E123" s="2" t="s">
        <v>82</v>
      </c>
      <c r="F123" s="18">
        <f>SUM(F107:F122)</f>
        <v>125325.26959009963</v>
      </c>
      <c r="G123" s="2"/>
      <c r="H123" s="2"/>
      <c r="I123" s="18">
        <f>SUM(I107:I122)</f>
        <v>84712.07041796406</v>
      </c>
      <c r="J123" s="4"/>
      <c r="K123" s="2"/>
      <c r="L123" s="18">
        <f>SUM(L107:L122)</f>
        <v>105125.35369886892</v>
      </c>
      <c r="M123" s="5"/>
      <c r="N123" s="2"/>
      <c r="O123" s="18">
        <f>SUM(O107:O122)</f>
        <v>106998.13450586246</v>
      </c>
      <c r="P123" s="5"/>
      <c r="Q123" s="2"/>
      <c r="R123" s="18">
        <f>SUM(R107:R122)</f>
        <v>127301.57468599331</v>
      </c>
      <c r="S123" s="5"/>
      <c r="T123" s="2"/>
    </row>
    <row r="124" spans="1:20" ht="15.75" customHeight="1">
      <c r="A124" s="1"/>
      <c r="B124" s="2"/>
      <c r="C124" s="2"/>
      <c r="D124" s="2"/>
      <c r="E124" s="2"/>
      <c r="F124" s="3"/>
      <c r="G124" s="2"/>
      <c r="H124" s="2"/>
      <c r="I124" s="3"/>
      <c r="J124" s="4"/>
      <c r="K124" s="2"/>
      <c r="L124" s="3"/>
      <c r="M124" s="5"/>
      <c r="N124" s="2"/>
      <c r="O124" s="3"/>
      <c r="P124" s="5"/>
      <c r="Q124" s="2"/>
      <c r="R124" s="3"/>
      <c r="S124" s="5"/>
      <c r="T124" s="2"/>
    </row>
    <row r="125" spans="1:20" ht="15.75" customHeight="1">
      <c r="A125" s="1" t="s">
        <v>83</v>
      </c>
      <c r="B125" s="2"/>
      <c r="C125" s="2"/>
      <c r="D125" s="2"/>
      <c r="E125" s="2"/>
      <c r="F125" s="3"/>
      <c r="G125" s="2"/>
      <c r="H125" s="2"/>
      <c r="I125" s="3"/>
      <c r="J125" s="4"/>
      <c r="K125" s="2"/>
      <c r="L125" s="3"/>
      <c r="M125" s="5"/>
      <c r="N125" s="2"/>
      <c r="O125" s="3"/>
      <c r="P125" s="5"/>
      <c r="Q125" s="2"/>
      <c r="R125" s="3"/>
      <c r="S125" s="5"/>
      <c r="T125" s="2"/>
    </row>
    <row r="126" spans="1:20" ht="15.75" customHeight="1">
      <c r="A126" s="1"/>
      <c r="B126" s="2" t="s">
        <v>84</v>
      </c>
      <c r="C126" s="2"/>
      <c r="D126" s="2"/>
      <c r="E126" s="2"/>
      <c r="F126" s="3">
        <f>SUM(SOCF!G29:R29)</f>
        <v>-242275</v>
      </c>
      <c r="G126" s="2"/>
      <c r="H126" s="2"/>
      <c r="I126" s="3">
        <f>SUM(SOCF!T29:'SOCF'!AE29)</f>
        <v>0</v>
      </c>
      <c r="J126" s="4"/>
      <c r="K126" s="2"/>
      <c r="L126" s="3">
        <f>SUM(SOCF!AG29:'SOCF'!AR29)</f>
        <v>0</v>
      </c>
      <c r="M126" s="5"/>
      <c r="N126" s="2"/>
      <c r="O126" s="3">
        <f>SUM(SOCF!AT29:'SOCF'!BE29)</f>
        <v>0</v>
      </c>
      <c r="P126" s="5"/>
      <c r="Q126" s="2"/>
      <c r="R126" s="3">
        <f>SUM(SOCF!BG29:'SOCF'!BR29)</f>
        <v>0</v>
      </c>
      <c r="S126" s="5"/>
      <c r="T126" s="2"/>
    </row>
    <row r="127" spans="1:20" ht="15.75" customHeight="1">
      <c r="A127" s="1"/>
      <c r="B127" s="2"/>
      <c r="C127" s="2"/>
      <c r="D127" s="2"/>
      <c r="E127" s="2"/>
      <c r="F127" s="3"/>
      <c r="G127" s="2"/>
      <c r="H127" s="2"/>
      <c r="I127" s="3"/>
      <c r="J127" s="4"/>
      <c r="K127" s="2"/>
      <c r="L127" s="3"/>
      <c r="M127" s="5"/>
      <c r="N127" s="2"/>
      <c r="O127" s="3"/>
      <c r="P127" s="5"/>
      <c r="Q127" s="2"/>
      <c r="R127" s="3"/>
      <c r="S127" s="5"/>
      <c r="T127" s="2"/>
    </row>
    <row r="128" spans="1:20" ht="15.75" customHeight="1">
      <c r="A128" s="1"/>
      <c r="B128" s="2"/>
      <c r="C128" s="2"/>
      <c r="D128" s="2"/>
      <c r="E128" s="2" t="s">
        <v>85</v>
      </c>
      <c r="F128" s="18">
        <f>SUM(F126:F127)</f>
        <v>-242275</v>
      </c>
      <c r="G128" s="2"/>
      <c r="H128" s="2"/>
      <c r="I128" s="18">
        <f>SUM(I126:I127)</f>
        <v>0</v>
      </c>
      <c r="J128" s="4"/>
      <c r="K128" s="2"/>
      <c r="L128" s="18">
        <f>SUM(L126:L127)</f>
        <v>0</v>
      </c>
      <c r="M128" s="5"/>
      <c r="N128" s="2"/>
      <c r="O128" s="18">
        <f>SUM(O126:O127)</f>
        <v>0</v>
      </c>
      <c r="P128" s="5"/>
      <c r="Q128" s="2"/>
      <c r="R128" s="18">
        <f>SUM(R126:R127)</f>
        <v>0</v>
      </c>
      <c r="S128" s="5"/>
      <c r="T128" s="2"/>
    </row>
    <row r="129" spans="1:20" ht="15.75" customHeight="1">
      <c r="A129" s="1"/>
      <c r="B129" s="2"/>
      <c r="C129" s="2"/>
      <c r="D129" s="2"/>
      <c r="E129" s="2"/>
      <c r="F129" s="3"/>
      <c r="G129" s="2"/>
      <c r="H129" s="2"/>
      <c r="I129" s="3"/>
      <c r="J129" s="4"/>
      <c r="K129" s="2"/>
      <c r="L129" s="3"/>
      <c r="M129" s="5"/>
      <c r="N129" s="2"/>
      <c r="O129" s="3"/>
      <c r="P129" s="5"/>
      <c r="Q129" s="2"/>
      <c r="R129" s="3"/>
      <c r="S129" s="5"/>
      <c r="T129" s="2"/>
    </row>
    <row r="130" spans="1:20" ht="15.75" customHeight="1">
      <c r="A130" s="1" t="s">
        <v>86</v>
      </c>
      <c r="B130" s="2"/>
      <c r="C130" s="2"/>
      <c r="D130" s="2"/>
      <c r="E130" s="2"/>
      <c r="F130" s="3"/>
      <c r="G130" s="2"/>
      <c r="H130" s="2"/>
      <c r="I130" s="3"/>
      <c r="J130" s="4"/>
      <c r="K130" s="2"/>
      <c r="L130" s="3"/>
      <c r="M130" s="5"/>
      <c r="N130" s="2"/>
      <c r="O130" s="3"/>
      <c r="P130" s="5"/>
      <c r="Q130" s="2"/>
      <c r="R130" s="3"/>
      <c r="S130" s="5"/>
      <c r="T130" s="2"/>
    </row>
    <row r="131" spans="1:20" ht="15.75" customHeight="1">
      <c r="A131" s="1"/>
      <c r="B131" s="2" t="s">
        <v>87</v>
      </c>
      <c r="C131" s="2"/>
      <c r="D131" s="2"/>
      <c r="E131" s="2"/>
      <c r="F131" s="3">
        <f>SUM(SOCF!G34:'SOCF'!R34)</f>
        <v>0</v>
      </c>
      <c r="G131" s="2"/>
      <c r="H131" s="2"/>
      <c r="I131" s="3">
        <f>SUM(SOCF!T34:'SOCF'!AE34)</f>
        <v>0</v>
      </c>
      <c r="J131" s="4"/>
      <c r="K131" s="2"/>
      <c r="L131" s="3">
        <f>SUM(SOCF!AG34:'SOCF'!AR34)</f>
        <v>0</v>
      </c>
      <c r="M131" s="5"/>
      <c r="N131" s="2"/>
      <c r="O131" s="3">
        <f>SUM(SOCF!AT34:'SOCF'!BE34)</f>
        <v>0</v>
      </c>
      <c r="P131" s="5"/>
      <c r="Q131" s="2"/>
      <c r="R131" s="3">
        <f>SUM(SOCF!BG34:'SOCF'!BR34)</f>
        <v>0</v>
      </c>
      <c r="S131" s="5"/>
      <c r="T131" s="2"/>
    </row>
    <row r="132" spans="1:20" ht="15.75" customHeight="1">
      <c r="A132" s="1"/>
      <c r="B132" s="2" t="s">
        <v>88</v>
      </c>
      <c r="C132" s="2"/>
      <c r="D132" s="2"/>
      <c r="E132" s="2"/>
      <c r="F132" s="3">
        <f>SUM(SOCF!G35:'SOCF'!R35)</f>
        <v>0</v>
      </c>
      <c r="G132" s="2"/>
      <c r="H132" s="2"/>
      <c r="I132" s="3">
        <f>SUM(SOCF!T35:'SOCF'!AE35)</f>
        <v>0</v>
      </c>
      <c r="J132" s="4"/>
      <c r="K132" s="2"/>
      <c r="L132" s="3">
        <f>SUM(SOCF!AG35:'SOCF'!AR35)</f>
        <v>0</v>
      </c>
      <c r="M132" s="5"/>
      <c r="N132" s="2"/>
      <c r="O132" s="3">
        <f>SUM(SOCF!AT35:'SOCF'!BE35)</f>
        <v>0</v>
      </c>
      <c r="P132" s="5"/>
      <c r="Q132" s="2"/>
      <c r="R132" s="3">
        <f>SUM(SOCF!BG35:'SOCF'!BR35)</f>
        <v>0</v>
      </c>
      <c r="S132" s="5"/>
      <c r="T132" s="2"/>
    </row>
    <row r="133" spans="1:20" ht="15.75" customHeight="1">
      <c r="A133" s="1"/>
      <c r="B133" s="2" t="s">
        <v>89</v>
      </c>
      <c r="C133" s="2"/>
      <c r="D133" s="2"/>
      <c r="E133" s="2"/>
      <c r="F133" s="3">
        <f>SUM(SOCF!G36:'SOCF'!R36)</f>
        <v>300000</v>
      </c>
      <c r="G133" s="2"/>
      <c r="H133" s="2"/>
      <c r="I133" s="3">
        <f>SUM(SOCF!T36:'SOCF'!AE36)</f>
        <v>0</v>
      </c>
      <c r="J133" s="4"/>
      <c r="K133" s="2"/>
      <c r="L133" s="3">
        <f>SUM(SOCF!AG36:'SOCF'!AR36)</f>
        <v>0</v>
      </c>
      <c r="M133" s="5"/>
      <c r="N133" s="2"/>
      <c r="O133" s="3">
        <f>SUM(SOCF!AT36:'SOCF'!BE36)</f>
        <v>0</v>
      </c>
      <c r="P133" s="5"/>
      <c r="Q133" s="2"/>
      <c r="R133" s="3">
        <f>SUM(SOCF!BG36:'SOCF'!BR36)</f>
        <v>0</v>
      </c>
      <c r="S133" s="5"/>
      <c r="T133" s="2"/>
    </row>
    <row r="134" spans="1:20" ht="15.75" customHeight="1">
      <c r="A134" s="1"/>
      <c r="B134" s="2" t="s">
        <v>90</v>
      </c>
      <c r="C134" s="2"/>
      <c r="D134" s="2"/>
      <c r="E134" s="2"/>
      <c r="F134" s="3">
        <f>SUM(SOCF!G37:'SOCF'!R37)</f>
        <v>-75000</v>
      </c>
      <c r="G134" s="2"/>
      <c r="H134" s="2"/>
      <c r="I134" s="3">
        <f>SUM(SOCF!T37:'SOCF'!AE37)</f>
        <v>-100000</v>
      </c>
      <c r="J134" s="4"/>
      <c r="K134" s="2"/>
      <c r="L134" s="3">
        <f>SUM(SOCF!AG37:'SOCF'!AR37)</f>
        <v>-100000</v>
      </c>
      <c r="M134" s="5"/>
      <c r="N134" s="2"/>
      <c r="O134" s="3">
        <f>SUM(SOCF!AT37:'SOCF'!BE37)</f>
        <v>-100000</v>
      </c>
      <c r="P134" s="5"/>
      <c r="Q134" s="2"/>
      <c r="R134" s="3">
        <f>SUM(SOCF!BG37:'SOCF'!BR37)</f>
        <v>-125000</v>
      </c>
      <c r="S134" s="5"/>
      <c r="T134" s="2"/>
    </row>
    <row r="135" spans="1:20" ht="15.75" customHeight="1">
      <c r="A135" s="1"/>
      <c r="B135" s="2"/>
      <c r="C135" s="2"/>
      <c r="D135" s="2"/>
      <c r="E135" s="2" t="s">
        <v>91</v>
      </c>
      <c r="F135" s="18">
        <f>SUM(F131:F134)</f>
        <v>225000</v>
      </c>
      <c r="G135" s="2"/>
      <c r="H135" s="2"/>
      <c r="I135" s="18">
        <f>SUM(I131:I134)</f>
        <v>-100000</v>
      </c>
      <c r="J135" s="4"/>
      <c r="K135" s="2"/>
      <c r="L135" s="18">
        <f>SUM(L131:L134)</f>
        <v>-100000</v>
      </c>
      <c r="M135" s="5"/>
      <c r="N135" s="2"/>
      <c r="O135" s="18">
        <f>SUM(O131:O134)</f>
        <v>-100000</v>
      </c>
      <c r="P135" s="5"/>
      <c r="Q135" s="2"/>
      <c r="R135" s="18">
        <f>SUM(R131:R134)</f>
        <v>-125000</v>
      </c>
      <c r="S135" s="5"/>
      <c r="T135" s="2"/>
    </row>
    <row r="136" spans="1:20" ht="15.75" customHeight="1">
      <c r="A136" s="1"/>
      <c r="B136" s="2"/>
      <c r="C136" s="2"/>
      <c r="D136" s="2"/>
      <c r="E136" s="2"/>
      <c r="F136" s="3"/>
      <c r="G136" s="2"/>
      <c r="H136" s="2"/>
      <c r="I136" s="3"/>
      <c r="J136" s="4"/>
      <c r="K136" s="2"/>
      <c r="L136" s="3"/>
      <c r="M136" s="5"/>
      <c r="N136" s="2"/>
      <c r="O136" s="3"/>
      <c r="P136" s="5"/>
      <c r="Q136" s="2"/>
      <c r="R136" s="3"/>
      <c r="S136" s="5"/>
      <c r="T136" s="2"/>
    </row>
    <row r="137" spans="1:20" ht="15.75" customHeight="1">
      <c r="A137" s="1" t="s">
        <v>92</v>
      </c>
      <c r="B137" s="2"/>
      <c r="C137" s="2"/>
      <c r="D137" s="2"/>
      <c r="E137" s="2"/>
      <c r="F137" s="3">
        <f>F123+F128+F135</f>
        <v>108050.26959009963</v>
      </c>
      <c r="G137" s="2"/>
      <c r="H137" s="2"/>
      <c r="I137" s="3">
        <f>I123+I128+I135</f>
        <v>-15287.92958203594</v>
      </c>
      <c r="J137" s="4"/>
      <c r="K137" s="2"/>
      <c r="L137" s="3">
        <f>L123+L128+L135</f>
        <v>5125.3536988689157</v>
      </c>
      <c r="M137" s="5"/>
      <c r="N137" s="2"/>
      <c r="O137" s="3">
        <f>O123+O128+O135</f>
        <v>6998.1345058624574</v>
      </c>
      <c r="P137" s="5"/>
      <c r="Q137" s="2"/>
      <c r="R137" s="3">
        <f>R123+R128+R135</f>
        <v>2301.5746859933133</v>
      </c>
      <c r="S137" s="5"/>
      <c r="T137" s="2"/>
    </row>
    <row r="138" spans="1:20" ht="15.75" customHeight="1">
      <c r="A138" s="1" t="s">
        <v>93</v>
      </c>
      <c r="B138" s="2"/>
      <c r="C138" s="2"/>
      <c r="D138" s="2"/>
      <c r="E138" s="2"/>
      <c r="F138" s="3">
        <f>SOCF!G41</f>
        <v>0</v>
      </c>
      <c r="G138" s="2"/>
      <c r="H138" s="2"/>
      <c r="I138" s="3">
        <f>F140</f>
        <v>108050.26959009963</v>
      </c>
      <c r="J138" s="4"/>
      <c r="K138" s="2"/>
      <c r="L138" s="3">
        <f>I140</f>
        <v>92762.340008063693</v>
      </c>
      <c r="M138" s="5"/>
      <c r="N138" s="2"/>
      <c r="O138" s="3">
        <f>L140</f>
        <v>97887.693706932609</v>
      </c>
      <c r="P138" s="5"/>
      <c r="Q138" s="2"/>
      <c r="R138" s="3">
        <f>O140</f>
        <v>104885.82821279507</v>
      </c>
      <c r="S138" s="5"/>
      <c r="T138" s="2"/>
    </row>
    <row r="139" spans="1:20" ht="15.75" customHeight="1">
      <c r="A139" s="1"/>
      <c r="B139" s="2"/>
      <c r="C139" s="2"/>
      <c r="D139" s="2"/>
      <c r="E139" s="2"/>
      <c r="F139" s="3"/>
      <c r="G139" s="2"/>
      <c r="H139" s="2"/>
      <c r="I139" s="3"/>
      <c r="J139" s="4"/>
      <c r="K139" s="2"/>
      <c r="L139" s="3"/>
      <c r="M139" s="5"/>
      <c r="N139" s="2"/>
      <c r="O139" s="3"/>
      <c r="P139" s="5"/>
      <c r="Q139" s="2"/>
      <c r="R139" s="3"/>
      <c r="S139" s="5"/>
      <c r="T139" s="2"/>
    </row>
    <row r="140" spans="1:20" ht="15.75" customHeight="1">
      <c r="A140" s="1" t="s">
        <v>94</v>
      </c>
      <c r="B140" s="2"/>
      <c r="C140" s="2"/>
      <c r="D140" s="2"/>
      <c r="E140" s="2"/>
      <c r="F140" s="3">
        <f>F137+F138</f>
        <v>108050.26959009963</v>
      </c>
      <c r="G140" s="2"/>
      <c r="H140" s="2"/>
      <c r="I140" s="3">
        <f>I137+I138</f>
        <v>92762.340008063693</v>
      </c>
      <c r="J140" s="4"/>
      <c r="K140" s="2"/>
      <c r="L140" s="3">
        <f>L137+L138</f>
        <v>97887.693706932609</v>
      </c>
      <c r="M140" s="5"/>
      <c r="N140" s="2"/>
      <c r="O140" s="3">
        <f>O137+O138</f>
        <v>104885.82821279507</v>
      </c>
      <c r="P140" s="5"/>
      <c r="Q140" s="2"/>
      <c r="R140" s="3">
        <f>R137+R138</f>
        <v>107187.40289878838</v>
      </c>
      <c r="S140" s="5"/>
      <c r="T140" s="2"/>
    </row>
    <row r="141" spans="1:20" ht="15.75" customHeight="1">
      <c r="A141" s="2"/>
      <c r="B141" s="2"/>
      <c r="C141" s="2"/>
      <c r="D141" s="2"/>
      <c r="E141" s="2"/>
      <c r="F141" s="2"/>
      <c r="G141" s="2"/>
      <c r="H141" s="2"/>
      <c r="I141" s="3"/>
      <c r="J141" s="4"/>
      <c r="K141" s="2"/>
      <c r="L141" s="3"/>
      <c r="M141" s="5"/>
      <c r="N141" s="2"/>
      <c r="O141" s="3"/>
      <c r="P141" s="5"/>
      <c r="Q141" s="2"/>
      <c r="R141" s="3"/>
      <c r="S141" s="5"/>
      <c r="T141" s="2"/>
    </row>
    <row r="142" spans="1:20" ht="15.75" customHeight="1">
      <c r="A142" s="2" t="s">
        <v>95</v>
      </c>
      <c r="B142" s="2"/>
      <c r="C142" s="2"/>
      <c r="D142" s="2"/>
      <c r="E142" s="2"/>
      <c r="F142" s="2"/>
      <c r="G142" s="2"/>
      <c r="H142" s="2"/>
      <c r="I142" s="3"/>
      <c r="J142" s="4"/>
      <c r="K142" s="2"/>
      <c r="L142" s="3"/>
      <c r="M142" s="5"/>
      <c r="N142" s="2"/>
      <c r="O142" s="3"/>
      <c r="P142" s="5"/>
      <c r="Q142" s="2"/>
      <c r="R142" s="3"/>
      <c r="S142" s="5"/>
      <c r="T142" s="2"/>
    </row>
    <row r="143" spans="1:20" ht="15.75" customHeight="1">
      <c r="A143" s="2"/>
      <c r="B143" s="2"/>
      <c r="C143" s="2"/>
      <c r="D143" s="2"/>
      <c r="E143" s="2"/>
      <c r="F143" s="2"/>
      <c r="G143" s="2"/>
      <c r="H143" s="2"/>
      <c r="I143" s="3"/>
      <c r="J143" s="4"/>
      <c r="K143" s="2"/>
      <c r="L143" s="3"/>
      <c r="M143" s="5"/>
      <c r="N143" s="2"/>
      <c r="O143" s="3"/>
      <c r="P143" s="5"/>
      <c r="Q143" s="2"/>
      <c r="R143" s="3"/>
      <c r="S143" s="5"/>
      <c r="T143" s="2"/>
    </row>
    <row r="144" spans="1:20" ht="15.75" hidden="1" customHeight="1">
      <c r="A144" s="2" t="s">
        <v>96</v>
      </c>
      <c r="B144" s="2"/>
      <c r="C144" s="2"/>
      <c r="D144" s="2"/>
      <c r="E144" s="2"/>
      <c r="F144" s="2"/>
      <c r="G144" s="2"/>
      <c r="H144" s="2"/>
      <c r="I144" s="3">
        <f>SUM(F110,I110,I137)</f>
        <v>13632.07041796406</v>
      </c>
      <c r="J144" s="4"/>
      <c r="K144" s="2"/>
      <c r="L144" s="3">
        <f>SUM(L137,L110)</f>
        <v>19585.353698868916</v>
      </c>
      <c r="M144" s="5"/>
      <c r="N144" s="2"/>
      <c r="O144" s="3">
        <f>SUM(O137,O110)</f>
        <v>21458.134505862457</v>
      </c>
      <c r="P144" s="5"/>
      <c r="Q144" s="2"/>
      <c r="R144" s="3">
        <f>SUM(R137,R110)</f>
        <v>16761.574685993313</v>
      </c>
      <c r="S144" s="5"/>
      <c r="T144" s="2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F48:G48"/>
    <mergeCell ref="I48:J48"/>
    <mergeCell ref="L48:M48"/>
    <mergeCell ref="O48:P48"/>
    <mergeCell ref="R48:S48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Z1000"/>
  <sheetViews>
    <sheetView showGridLines="0" workbookViewId="0">
      <selection activeCell="J35" sqref="J35"/>
    </sheetView>
  </sheetViews>
  <sheetFormatPr defaultColWidth="14.453125" defaultRowHeight="15" customHeight="1"/>
  <cols>
    <col min="1" max="1" width="28.7265625" customWidth="1"/>
    <col min="2" max="2" width="12.26953125" customWidth="1"/>
    <col min="3" max="6" width="11.1796875" customWidth="1"/>
    <col min="7" max="7" width="16.26953125" customWidth="1"/>
    <col min="8" max="8" width="18.54296875" customWidth="1"/>
    <col min="9" max="9" width="27.26953125" customWidth="1"/>
    <col min="10" max="10" width="21" customWidth="1"/>
    <col min="11" max="12" width="11.54296875" customWidth="1"/>
    <col min="13" max="13" width="23.453125" customWidth="1"/>
    <col min="14" max="14" width="15" customWidth="1"/>
    <col min="15" max="15" width="15.26953125" customWidth="1"/>
    <col min="16" max="16" width="17.26953125" customWidth="1"/>
    <col min="17" max="26" width="11.54296875" customWidth="1"/>
  </cols>
  <sheetData>
    <row r="1" spans="1:26" ht="14.5">
      <c r="A1" s="17" t="s">
        <v>381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4.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4.5">
      <c r="A3" s="218" t="s">
        <v>382</v>
      </c>
      <c r="B3" s="219" t="s">
        <v>383</v>
      </c>
      <c r="C3" s="219" t="s">
        <v>384</v>
      </c>
      <c r="D3" s="220" t="s">
        <v>385</v>
      </c>
      <c r="E3" s="219" t="s">
        <v>386</v>
      </c>
      <c r="F3" s="17"/>
      <c r="G3" s="17"/>
      <c r="H3" s="17"/>
      <c r="I3" s="17"/>
      <c r="J3" s="221"/>
      <c r="K3" s="222" t="s">
        <v>387</v>
      </c>
      <c r="L3" s="222" t="s">
        <v>388</v>
      </c>
      <c r="M3" s="222" t="s">
        <v>389</v>
      </c>
      <c r="N3" s="221" t="s">
        <v>390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4.5">
      <c r="A4" s="221" t="s">
        <v>391</v>
      </c>
      <c r="B4" s="223">
        <f>IF($H5=K3,K4,IF($H5=L3,L4,IF($H5=M3,M4,0)))</f>
        <v>0.1925</v>
      </c>
      <c r="C4" s="223">
        <f>IF($H5=K3,K6,IF($H5=L3,L6,IF($H5=M3,M6,0)))</f>
        <v>0.14499999999999999</v>
      </c>
      <c r="D4" s="223">
        <f>IF($H5=K3,K7,IF($H5=L3,L7,IF($H5=M3,M7,0)))</f>
        <v>0.2185</v>
      </c>
      <c r="E4" s="223">
        <f>IF($H5=K3,K9,IF($H5=L3,L9,IF($H5=M3,M9,0)))</f>
        <v>0.17299999999999999</v>
      </c>
      <c r="F4" s="17"/>
      <c r="G4" s="222" t="s">
        <v>392</v>
      </c>
      <c r="H4" s="224">
        <f>'Estimates - COGS - Total Volume'!P78</f>
        <v>1682.3335749999997</v>
      </c>
      <c r="I4" s="225" t="s">
        <v>393</v>
      </c>
      <c r="J4" s="221" t="s">
        <v>394</v>
      </c>
      <c r="K4" s="226">
        <v>0.1925</v>
      </c>
      <c r="L4" s="221" t="s">
        <v>388</v>
      </c>
      <c r="M4" s="221">
        <v>0</v>
      </c>
      <c r="N4" s="221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4.5">
      <c r="A5" s="221" t="s">
        <v>395</v>
      </c>
      <c r="B5" s="223">
        <f>IF($H5=$K3,K10,IF($H5=$L3,L10,IF($H5=$M3,M10,0)))</f>
        <v>4.2999999999999997E-2</v>
      </c>
      <c r="C5" s="223">
        <f>IF($H5=$K3,K10,IF($H5=$L3,L10,IF($H5=$M3,M10,0)))</f>
        <v>4.2999999999999997E-2</v>
      </c>
      <c r="D5" s="223">
        <f>IF($H5=$K3,K10,IF($H5=$L3,L10,IF($H5=$M3,M10,0)))</f>
        <v>4.2999999999999997E-2</v>
      </c>
      <c r="E5" s="223">
        <f>IF($H5=$K3,K10,IF($H5=$L3,L10,IF($H5=$M3,M10,0)))</f>
        <v>4.2999999999999997E-2</v>
      </c>
      <c r="F5" s="17"/>
      <c r="G5" s="222" t="s">
        <v>396</v>
      </c>
      <c r="H5" s="222" t="s">
        <v>387</v>
      </c>
      <c r="I5" s="17"/>
      <c r="J5" s="221" t="s">
        <v>397</v>
      </c>
      <c r="K5" s="227">
        <v>0.14299999999999999</v>
      </c>
      <c r="L5" s="221" t="s">
        <v>388</v>
      </c>
      <c r="M5" s="221">
        <v>0</v>
      </c>
      <c r="N5" s="221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4.5">
      <c r="A6" s="221" t="s">
        <v>398</v>
      </c>
      <c r="B6" s="223">
        <f>$N14</f>
        <v>0.15</v>
      </c>
      <c r="C6" s="223"/>
      <c r="D6" s="223">
        <f>$N14</f>
        <v>0.15</v>
      </c>
      <c r="E6" s="223"/>
      <c r="F6" s="17"/>
      <c r="G6" s="222" t="s">
        <v>399</v>
      </c>
      <c r="H6" s="222" t="s">
        <v>385</v>
      </c>
      <c r="I6" s="17"/>
      <c r="J6" s="221" t="s">
        <v>400</v>
      </c>
      <c r="K6" s="227">
        <v>0.14499999999999999</v>
      </c>
      <c r="L6" s="221" t="s">
        <v>388</v>
      </c>
      <c r="M6" s="221">
        <v>0.28999999999999998</v>
      </c>
      <c r="N6" s="221"/>
      <c r="O6" s="221" t="s">
        <v>401</v>
      </c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4.5">
      <c r="A7" s="221" t="s">
        <v>402</v>
      </c>
      <c r="B7" s="223">
        <f>IF($H5=$K3,K11,IF($H5=$L3,L11,IF($H5=$M3,M11,0)))</f>
        <v>0.155</v>
      </c>
      <c r="C7" s="223">
        <f>IF($H5=$K3,K11,IF($H5=$L3,L11,IF($H5=$M3,M11,0)))</f>
        <v>0.155</v>
      </c>
      <c r="D7" s="223">
        <f>IF($H5=$K3,K12,IF($H5=$L3,L12,IF($H5=$M3,M12,0)))</f>
        <v>0.2</v>
      </c>
      <c r="E7" s="223">
        <f>IF($H5=$K3,K12,IF($H5=$L3,L12,IF($H5=$M3,M12,0)))</f>
        <v>0.2</v>
      </c>
      <c r="F7" s="17"/>
      <c r="G7" s="222" t="s">
        <v>403</v>
      </c>
      <c r="H7" s="228">
        <f>IF(H6=B3,B9*H4,IF(H6=C3,C9*H4,IF(H6=D3,D9*H4,IF(H6=E3,E9*H4,0))))</f>
        <v>19229.072762249994</v>
      </c>
      <c r="I7" s="17"/>
      <c r="J7" s="221" t="s">
        <v>404</v>
      </c>
      <c r="K7" s="226">
        <v>0.2185</v>
      </c>
      <c r="L7" s="221" t="s">
        <v>388</v>
      </c>
      <c r="M7" s="221">
        <v>0</v>
      </c>
      <c r="N7" s="221"/>
      <c r="O7" s="221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4.5">
      <c r="A8" s="221" t="s">
        <v>405</v>
      </c>
      <c r="B8" s="223">
        <f>$N15</f>
        <v>0.35</v>
      </c>
      <c r="C8" s="223">
        <f>$N15</f>
        <v>0.35</v>
      </c>
      <c r="D8" s="223">
        <f>$N15</f>
        <v>0.35</v>
      </c>
      <c r="E8" s="223">
        <f>$N15</f>
        <v>0.35</v>
      </c>
      <c r="F8" s="17"/>
      <c r="G8" s="17"/>
      <c r="H8" s="17"/>
      <c r="I8" s="17"/>
      <c r="J8" s="221" t="s">
        <v>406</v>
      </c>
      <c r="K8" s="227">
        <v>0.17</v>
      </c>
      <c r="L8" s="221" t="s">
        <v>388</v>
      </c>
      <c r="M8" s="221">
        <v>0</v>
      </c>
      <c r="N8" s="221"/>
      <c r="O8" s="221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4.5">
      <c r="A9" s="222" t="s">
        <v>407</v>
      </c>
      <c r="B9" s="229">
        <f>ROUNDUP(SUM(24*SUM(B4:B6),4*B7,B8),2)</f>
        <v>10.23</v>
      </c>
      <c r="C9" s="229">
        <f>ROUNDUP(SUM(24*SUM(C4:C6),4*C7,C8),2)</f>
        <v>5.49</v>
      </c>
      <c r="D9" s="230">
        <f>ROUNDUP(SUM(24*SUM(D4:D6),6*D7,D8),2)</f>
        <v>11.43</v>
      </c>
      <c r="E9" s="229">
        <f>ROUNDUP(SUM(24*SUM(E4:E6),6*E7,E8),2)</f>
        <v>6.74</v>
      </c>
      <c r="F9" s="17"/>
      <c r="G9" s="17"/>
      <c r="H9" s="17"/>
      <c r="I9" s="17"/>
      <c r="J9" s="221" t="s">
        <v>408</v>
      </c>
      <c r="K9" s="227">
        <v>0.17299999999999999</v>
      </c>
      <c r="L9" s="221" t="s">
        <v>388</v>
      </c>
      <c r="M9" s="221">
        <v>0.36</v>
      </c>
      <c r="N9" s="221">
        <v>0.36</v>
      </c>
      <c r="O9" s="221" t="s">
        <v>401</v>
      </c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4.5">
      <c r="A10" s="17"/>
      <c r="B10" s="17"/>
      <c r="C10" s="17"/>
      <c r="D10" s="17"/>
      <c r="E10" s="17"/>
      <c r="F10" s="17"/>
      <c r="G10" s="17"/>
      <c r="H10" s="17"/>
      <c r="I10" s="17"/>
      <c r="J10" s="221" t="s">
        <v>409</v>
      </c>
      <c r="K10" s="227">
        <v>4.2999999999999997E-2</v>
      </c>
      <c r="L10" s="221" t="s">
        <v>388</v>
      </c>
      <c r="M10" s="221">
        <v>4.7E-2</v>
      </c>
      <c r="N10" s="221">
        <v>4.7E-2</v>
      </c>
      <c r="O10" s="221" t="s">
        <v>410</v>
      </c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4.5">
      <c r="A11" s="222" t="s">
        <v>411</v>
      </c>
      <c r="B11" s="231" t="s">
        <v>412</v>
      </c>
      <c r="C11" s="231" t="s">
        <v>413</v>
      </c>
      <c r="D11" s="17"/>
      <c r="E11" s="17"/>
      <c r="F11" s="17"/>
      <c r="G11" s="17"/>
      <c r="H11" s="17"/>
      <c r="I11" s="17"/>
      <c r="J11" s="221" t="s">
        <v>414</v>
      </c>
      <c r="K11" s="227">
        <v>0.155</v>
      </c>
      <c r="L11" s="221" t="s">
        <v>388</v>
      </c>
      <c r="M11" s="221">
        <v>0.155</v>
      </c>
      <c r="N11" s="221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4.5">
      <c r="A12" s="221" t="s">
        <v>415</v>
      </c>
      <c r="B12" s="232">
        <v>0</v>
      </c>
      <c r="C12" s="232">
        <v>0</v>
      </c>
      <c r="D12" s="17"/>
      <c r="E12" s="17"/>
      <c r="F12" s="17"/>
      <c r="G12" s="17"/>
      <c r="H12" s="17"/>
      <c r="I12" s="17"/>
      <c r="J12" s="221" t="s">
        <v>416</v>
      </c>
      <c r="K12" s="227">
        <v>0.2</v>
      </c>
      <c r="L12" s="221" t="s">
        <v>388</v>
      </c>
      <c r="M12" s="221">
        <v>0.2</v>
      </c>
      <c r="N12" s="221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4.5">
      <c r="A13" s="221" t="s">
        <v>417</v>
      </c>
      <c r="B13" s="232">
        <v>0.1</v>
      </c>
      <c r="C13" s="232">
        <v>0.1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4.5">
      <c r="A14" s="221" t="s">
        <v>418</v>
      </c>
      <c r="B14" s="232">
        <v>0.42</v>
      </c>
      <c r="C14" s="232">
        <v>0.42</v>
      </c>
      <c r="D14" s="17"/>
      <c r="E14" s="17"/>
      <c r="F14" s="17"/>
      <c r="G14" s="17"/>
      <c r="H14" s="17"/>
      <c r="I14" s="17"/>
      <c r="J14" s="221" t="s">
        <v>419</v>
      </c>
      <c r="K14" s="233" t="s">
        <v>420</v>
      </c>
      <c r="L14" s="221"/>
      <c r="M14" s="221"/>
      <c r="N14" s="221">
        <v>0.15</v>
      </c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4.5">
      <c r="A15" s="222" t="s">
        <v>421</v>
      </c>
      <c r="B15" s="259">
        <f>SUM(B12:B14)</f>
        <v>0.52</v>
      </c>
      <c r="C15" s="228">
        <f>SUM(C12:C14)</f>
        <v>0.52</v>
      </c>
      <c r="D15" s="17"/>
      <c r="E15" s="17"/>
      <c r="F15" s="17"/>
      <c r="G15" s="17"/>
      <c r="H15" s="17"/>
      <c r="I15" s="17"/>
      <c r="J15" s="221" t="s">
        <v>422</v>
      </c>
      <c r="K15" s="233" t="s">
        <v>420</v>
      </c>
      <c r="L15" s="221"/>
      <c r="M15" s="221"/>
      <c r="N15" s="221">
        <v>0.35</v>
      </c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4.5">
      <c r="A16" s="17"/>
      <c r="B16" s="17"/>
      <c r="C16" s="17"/>
      <c r="D16" s="17"/>
      <c r="E16" s="17"/>
      <c r="F16" s="17"/>
      <c r="G16" s="17"/>
      <c r="H16" s="17"/>
      <c r="I16" s="17"/>
      <c r="J16" s="234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4.5">
      <c r="A17" s="218" t="s">
        <v>423</v>
      </c>
      <c r="B17" s="235"/>
      <c r="C17" s="17"/>
      <c r="D17" s="17"/>
      <c r="E17" s="17"/>
      <c r="F17" s="17"/>
      <c r="G17" s="17"/>
      <c r="H17" s="17"/>
      <c r="I17" s="17"/>
      <c r="J17" s="234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4.5">
      <c r="A18" s="236" t="s">
        <v>424</v>
      </c>
      <c r="B18" s="237">
        <v>0</v>
      </c>
      <c r="C18" s="17"/>
      <c r="D18" s="17"/>
      <c r="E18" s="17"/>
      <c r="F18" s="17"/>
      <c r="G18" s="17"/>
      <c r="H18" s="17"/>
      <c r="I18" s="17"/>
      <c r="J18" s="234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4.5">
      <c r="A19" s="236" t="s">
        <v>425</v>
      </c>
      <c r="B19" s="238"/>
      <c r="C19" s="17"/>
      <c r="D19" s="17"/>
      <c r="E19" s="17"/>
      <c r="F19" s="17"/>
      <c r="G19" s="17"/>
      <c r="H19" s="17"/>
      <c r="I19" s="239" t="s">
        <v>426</v>
      </c>
      <c r="J19" s="239"/>
      <c r="K19" s="239"/>
      <c r="L19" s="239"/>
      <c r="M19" s="239"/>
      <c r="N19" s="239"/>
      <c r="O19" s="239"/>
      <c r="P19" s="239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4.5">
      <c r="A20" s="236" t="s">
        <v>427</v>
      </c>
      <c r="B20" s="240">
        <f>SUM(B18:B19)</f>
        <v>0</v>
      </c>
      <c r="C20" s="17"/>
      <c r="D20" s="17"/>
      <c r="E20" s="17"/>
      <c r="F20" s="17"/>
      <c r="G20" s="17"/>
      <c r="H20" s="17"/>
      <c r="I20" s="239" t="s">
        <v>428</v>
      </c>
      <c r="J20" s="239" t="s">
        <v>429</v>
      </c>
      <c r="K20" s="239" t="s">
        <v>430</v>
      </c>
      <c r="L20" s="239"/>
      <c r="M20" s="239"/>
      <c r="N20" s="239" t="s">
        <v>431</v>
      </c>
      <c r="O20" s="239" t="s">
        <v>432</v>
      </c>
      <c r="P20" s="239" t="s">
        <v>433</v>
      </c>
      <c r="Q20" s="17" t="s">
        <v>434</v>
      </c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5.75" customHeight="1">
      <c r="A21" s="236" t="s">
        <v>435</v>
      </c>
      <c r="B21" s="238">
        <v>800</v>
      </c>
      <c r="C21" s="17"/>
      <c r="D21" s="17"/>
      <c r="E21" s="17"/>
      <c r="F21" s="17"/>
      <c r="G21" s="17"/>
      <c r="H21" s="17"/>
      <c r="I21" s="241">
        <v>12</v>
      </c>
      <c r="J21" s="241">
        <v>22</v>
      </c>
      <c r="K21" s="241">
        <f t="shared" ref="K21:K27" si="0">J21-I21</f>
        <v>10</v>
      </c>
      <c r="L21" s="239" t="s">
        <v>436</v>
      </c>
      <c r="M21" s="239"/>
      <c r="N21" s="242">
        <v>0.04</v>
      </c>
      <c r="O21" s="241">
        <f>'Estimates - COGS - Total Volume'!L$79*N21</f>
        <v>68.156741714285701</v>
      </c>
      <c r="P21" s="243">
        <f t="shared" ref="P21:P27" si="1">O21/K21</f>
        <v>6.8156741714285705</v>
      </c>
      <c r="Q21" s="241">
        <f t="shared" ref="Q21:Q27" si="2">Q$29*N21</f>
        <v>7.7646164999999971</v>
      </c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5.75" customHeight="1">
      <c r="A22" s="244" t="s">
        <v>437</v>
      </c>
      <c r="B22" s="245">
        <f>ROUND(B20/B21,2)</f>
        <v>0</v>
      </c>
      <c r="C22" s="17"/>
      <c r="D22" s="17"/>
      <c r="E22" s="17"/>
      <c r="F22" s="17"/>
      <c r="G22" s="17"/>
      <c r="H22" s="17"/>
      <c r="I22" s="241">
        <v>12</v>
      </c>
      <c r="J22" s="241">
        <v>22</v>
      </c>
      <c r="K22" s="241">
        <f t="shared" si="0"/>
        <v>10</v>
      </c>
      <c r="L22" s="239" t="s">
        <v>438</v>
      </c>
      <c r="M22" s="239"/>
      <c r="N22" s="242">
        <v>7.0000000000000007E-2</v>
      </c>
      <c r="O22" s="241">
        <f>'Estimates - COGS - Total Volume'!L$79*N22</f>
        <v>119.27429799999999</v>
      </c>
      <c r="P22" s="243">
        <f t="shared" si="1"/>
        <v>11.927429799999999</v>
      </c>
      <c r="Q22" s="241">
        <f t="shared" si="2"/>
        <v>13.588078874999997</v>
      </c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5.75" customHeight="1">
      <c r="A23" s="17"/>
      <c r="B23" s="17"/>
      <c r="C23" s="17"/>
      <c r="D23" s="17"/>
      <c r="E23" s="17"/>
      <c r="F23" s="17"/>
      <c r="G23" s="17"/>
      <c r="H23" s="17"/>
      <c r="I23" s="241">
        <v>12</v>
      </c>
      <c r="J23" s="241">
        <v>22</v>
      </c>
      <c r="K23" s="241">
        <f t="shared" si="0"/>
        <v>10</v>
      </c>
      <c r="L23" s="239" t="s">
        <v>439</v>
      </c>
      <c r="M23" s="239"/>
      <c r="N23" s="242">
        <v>0.12</v>
      </c>
      <c r="O23" s="241">
        <f>'Estimates - COGS - Total Volume'!L$79*N23</f>
        <v>204.47022514285709</v>
      </c>
      <c r="P23" s="243">
        <f t="shared" si="1"/>
        <v>20.44702251428571</v>
      </c>
      <c r="Q23" s="241">
        <f t="shared" si="2"/>
        <v>23.29384949999999</v>
      </c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5.75" customHeight="1">
      <c r="A24" s="27" t="s">
        <v>440</v>
      </c>
      <c r="B24" s="246">
        <v>0.03</v>
      </c>
      <c r="C24" s="17"/>
      <c r="D24" s="17"/>
      <c r="E24" s="17"/>
      <c r="F24" s="17"/>
      <c r="G24" s="17"/>
      <c r="H24" s="17"/>
      <c r="I24" s="241">
        <v>12</v>
      </c>
      <c r="J24" s="241">
        <v>22</v>
      </c>
      <c r="K24" s="241">
        <f t="shared" si="0"/>
        <v>10</v>
      </c>
      <c r="L24" s="239" t="s">
        <v>441</v>
      </c>
      <c r="M24" s="239"/>
      <c r="N24" s="242">
        <v>0.17</v>
      </c>
      <c r="O24" s="241">
        <f>'Estimates - COGS - Total Volume'!L$79*N24</f>
        <v>289.66615228571425</v>
      </c>
      <c r="P24" s="243">
        <f t="shared" si="1"/>
        <v>28.966615228571424</v>
      </c>
      <c r="Q24" s="241">
        <f t="shared" si="2"/>
        <v>32.999620124999993</v>
      </c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5.75" customHeight="1">
      <c r="A25" s="17"/>
      <c r="B25" s="17"/>
      <c r="C25" s="17"/>
      <c r="D25" s="17"/>
      <c r="E25" s="17"/>
      <c r="F25" s="17"/>
      <c r="G25" s="17"/>
      <c r="H25" s="17"/>
      <c r="I25" s="241">
        <v>12</v>
      </c>
      <c r="J25" s="241">
        <v>23</v>
      </c>
      <c r="K25" s="241">
        <f t="shared" si="0"/>
        <v>11</v>
      </c>
      <c r="L25" s="239" t="s">
        <v>442</v>
      </c>
      <c r="M25" s="239"/>
      <c r="N25" s="242">
        <v>0.25</v>
      </c>
      <c r="O25" s="241">
        <f>'Estimates - COGS - Total Volume'!L$79*N25</f>
        <v>425.97963571428562</v>
      </c>
      <c r="P25" s="243">
        <f t="shared" si="1"/>
        <v>38.725421428571423</v>
      </c>
      <c r="Q25" s="241">
        <f t="shared" si="2"/>
        <v>48.528853124999983</v>
      </c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5.75" customHeight="1">
      <c r="A26" s="218" t="s">
        <v>443</v>
      </c>
      <c r="B26" s="235"/>
      <c r="C26" s="17"/>
      <c r="D26" s="17"/>
      <c r="E26" s="17"/>
      <c r="F26" s="17"/>
      <c r="G26" s="17"/>
      <c r="H26" s="17"/>
      <c r="I26" s="241">
        <v>11</v>
      </c>
      <c r="J26" s="241">
        <v>23</v>
      </c>
      <c r="K26" s="241">
        <f t="shared" si="0"/>
        <v>12</v>
      </c>
      <c r="L26" s="239" t="s">
        <v>444</v>
      </c>
      <c r="M26" s="239"/>
      <c r="N26" s="242">
        <v>0.25</v>
      </c>
      <c r="O26" s="241">
        <f>'Estimates - COGS - Total Volume'!L$79*N26</f>
        <v>425.97963571428562</v>
      </c>
      <c r="P26" s="243">
        <f t="shared" si="1"/>
        <v>35.498302976190466</v>
      </c>
      <c r="Q26" s="241">
        <f t="shared" si="2"/>
        <v>48.528853124999983</v>
      </c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5.75" customHeight="1">
      <c r="A27" s="236" t="s">
        <v>445</v>
      </c>
      <c r="B27" s="234">
        <v>3.5</v>
      </c>
      <c r="C27" s="17"/>
      <c r="D27" s="17"/>
      <c r="E27" s="17"/>
      <c r="F27" s="17"/>
      <c r="G27" s="17"/>
      <c r="H27" s="17"/>
      <c r="I27" s="241">
        <v>11</v>
      </c>
      <c r="J27" s="241">
        <v>22</v>
      </c>
      <c r="K27" s="241">
        <f t="shared" si="0"/>
        <v>11</v>
      </c>
      <c r="L27" s="239" t="s">
        <v>446</v>
      </c>
      <c r="M27" s="239"/>
      <c r="N27" s="242">
        <v>0.1</v>
      </c>
      <c r="O27" s="241">
        <f>'Estimates - COGS - Total Volume'!L$79*N27</f>
        <v>170.39185428571426</v>
      </c>
      <c r="P27" s="243">
        <f t="shared" si="1"/>
        <v>15.490168571428569</v>
      </c>
      <c r="Q27" s="241">
        <f t="shared" si="2"/>
        <v>19.411541249999996</v>
      </c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5.75" customHeight="1">
      <c r="A28" s="236" t="s">
        <v>447</v>
      </c>
      <c r="B28" s="247">
        <v>0.08</v>
      </c>
      <c r="C28" s="17"/>
      <c r="D28" s="17"/>
      <c r="E28" s="17"/>
      <c r="F28" s="17"/>
      <c r="G28" s="17"/>
      <c r="H28" s="17"/>
      <c r="I28" s="239"/>
      <c r="J28" s="239"/>
      <c r="K28" s="17"/>
      <c r="L28" s="239"/>
      <c r="M28" s="239"/>
      <c r="N28" s="239"/>
      <c r="O28" s="239"/>
      <c r="P28" s="239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5.75" customHeight="1">
      <c r="A29" s="248" t="s">
        <v>448</v>
      </c>
      <c r="B29" s="234">
        <f>ROUND($B$28*24*12/128,2)</f>
        <v>0.18</v>
      </c>
      <c r="C29" s="17"/>
      <c r="D29" s="17"/>
      <c r="E29" s="17"/>
      <c r="F29" s="17"/>
      <c r="G29" s="17"/>
      <c r="H29" s="17"/>
      <c r="I29" s="241"/>
      <c r="J29" s="241"/>
      <c r="K29" s="241">
        <f>SUM(K21:K27)</f>
        <v>74</v>
      </c>
      <c r="L29" s="249" t="s">
        <v>449</v>
      </c>
      <c r="M29" s="239"/>
      <c r="N29" s="250">
        <f>SUM(N21:N28)</f>
        <v>1</v>
      </c>
      <c r="O29" s="241">
        <f>SUM(O21:O28)</f>
        <v>1703.9185428571427</v>
      </c>
      <c r="P29" s="249" t="s">
        <v>449</v>
      </c>
      <c r="Q29" s="251">
        <f>'Estimates - COGS - Total Volume'!R79</f>
        <v>194.11541249999993</v>
      </c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5.75" customHeight="1">
      <c r="A30" s="248" t="s">
        <v>450</v>
      </c>
      <c r="B30" s="234">
        <f>ROUND($B$28*24*16/128,2)</f>
        <v>0.24</v>
      </c>
      <c r="C30" s="17"/>
      <c r="D30" s="17"/>
      <c r="E30" s="17"/>
      <c r="F30" s="17"/>
      <c r="G30" s="17"/>
      <c r="H30" s="17"/>
      <c r="I30" s="17"/>
      <c r="J30" s="234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234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>
      <c r="A32" s="16"/>
      <c r="B32" s="252"/>
      <c r="C32" s="17"/>
      <c r="D32" s="17"/>
      <c r="E32" s="17"/>
      <c r="F32" s="17"/>
      <c r="G32" s="17"/>
      <c r="H32" s="218"/>
      <c r="I32" s="219"/>
      <c r="J32" s="234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>
      <c r="A33" s="218" t="s">
        <v>451</v>
      </c>
      <c r="B33" s="218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>
      <c r="A34" s="24" t="s">
        <v>452</v>
      </c>
      <c r="B34" s="253">
        <v>0.3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>
      <c r="A35" s="24" t="s">
        <v>453</v>
      </c>
      <c r="B35" s="253">
        <v>0.3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>
      <c r="A36" s="24" t="s">
        <v>454</v>
      </c>
      <c r="B36" s="253">
        <v>0.25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5.75" customHeight="1">
      <c r="A237" s="177"/>
      <c r="B237" s="177"/>
      <c r="C237" s="177"/>
      <c r="D237" s="177"/>
      <c r="E237" s="177"/>
      <c r="F237" s="177"/>
      <c r="G237" s="177"/>
      <c r="H237" s="177"/>
      <c r="I237" s="177"/>
      <c r="J237" s="177"/>
      <c r="K237" s="177"/>
      <c r="L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</row>
    <row r="238" spans="1:26" ht="15.75" customHeight="1">
      <c r="A238" s="177"/>
      <c r="B238" s="177"/>
      <c r="C238" s="177"/>
      <c r="D238" s="177"/>
      <c r="E238" s="177"/>
      <c r="F238" s="177"/>
      <c r="G238" s="177"/>
      <c r="H238" s="177"/>
      <c r="I238" s="177"/>
      <c r="J238" s="177"/>
      <c r="K238" s="177"/>
      <c r="L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</row>
    <row r="239" spans="1:26" ht="15.75" customHeight="1">
      <c r="A239" s="177"/>
      <c r="B239" s="177"/>
      <c r="C239" s="177"/>
      <c r="D239" s="177"/>
      <c r="E239" s="177"/>
      <c r="F239" s="177"/>
      <c r="G239" s="177"/>
      <c r="H239" s="177"/>
      <c r="I239" s="177"/>
      <c r="J239" s="177"/>
      <c r="K239" s="177"/>
      <c r="L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</row>
    <row r="240" spans="1:26" ht="15.75" customHeight="1">
      <c r="A240" s="177"/>
      <c r="B240" s="177"/>
      <c r="C240" s="177"/>
      <c r="D240" s="177"/>
      <c r="E240" s="177"/>
      <c r="F240" s="177"/>
      <c r="G240" s="177"/>
      <c r="H240" s="177"/>
      <c r="I240" s="177"/>
      <c r="J240" s="177"/>
      <c r="K240" s="177"/>
      <c r="L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</row>
    <row r="241" spans="1:26" ht="15.75" customHeight="1">
      <c r="A241" s="177"/>
      <c r="B241" s="177"/>
      <c r="C241" s="177"/>
      <c r="D241" s="177"/>
      <c r="E241" s="177"/>
      <c r="F241" s="177"/>
      <c r="G241" s="177"/>
      <c r="H241" s="177"/>
      <c r="I241" s="177"/>
      <c r="J241" s="177"/>
      <c r="K241" s="177"/>
      <c r="L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</row>
    <row r="242" spans="1:26" ht="15.75" customHeight="1">
      <c r="A242" s="177"/>
      <c r="B242" s="177"/>
      <c r="C242" s="177"/>
      <c r="D242" s="177"/>
      <c r="E242" s="177"/>
      <c r="F242" s="177"/>
      <c r="G242" s="177"/>
      <c r="H242" s="177"/>
      <c r="I242" s="177"/>
      <c r="J242" s="177"/>
      <c r="K242" s="177"/>
      <c r="L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</row>
    <row r="243" spans="1:26" ht="15.75" customHeight="1">
      <c r="A243" s="177"/>
      <c r="B243" s="177"/>
      <c r="C243" s="177"/>
      <c r="D243" s="177"/>
      <c r="E243" s="177"/>
      <c r="F243" s="177"/>
      <c r="G243" s="177"/>
      <c r="H243" s="177"/>
      <c r="I243" s="177"/>
      <c r="J243" s="177"/>
      <c r="K243" s="177"/>
      <c r="L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</row>
    <row r="244" spans="1:26" ht="15.75" customHeight="1">
      <c r="A244" s="177"/>
      <c r="B244" s="177"/>
      <c r="C244" s="177"/>
      <c r="D244" s="177"/>
      <c r="E244" s="177"/>
      <c r="F244" s="177"/>
      <c r="G244" s="177"/>
      <c r="H244" s="177"/>
      <c r="I244" s="177"/>
      <c r="J244" s="177"/>
      <c r="K244" s="177"/>
      <c r="L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</row>
    <row r="245" spans="1:26" ht="15.75" customHeight="1">
      <c r="A245" s="177"/>
      <c r="B245" s="177"/>
      <c r="C245" s="177"/>
      <c r="D245" s="177"/>
      <c r="E245" s="177"/>
      <c r="F245" s="177"/>
      <c r="G245" s="177"/>
      <c r="H245" s="177"/>
      <c r="I245" s="177"/>
      <c r="J245" s="177"/>
      <c r="K245" s="177"/>
      <c r="L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</row>
    <row r="246" spans="1:26" ht="15.75" customHeight="1">
      <c r="A246" s="177"/>
      <c r="B246" s="177"/>
      <c r="C246" s="177"/>
      <c r="D246" s="177"/>
      <c r="E246" s="177"/>
      <c r="F246" s="177"/>
      <c r="G246" s="177"/>
      <c r="H246" s="177"/>
      <c r="I246" s="177"/>
      <c r="J246" s="177"/>
      <c r="K246" s="177"/>
      <c r="L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</row>
    <row r="247" spans="1:26" ht="15.75" customHeight="1">
      <c r="A247" s="177"/>
      <c r="B247" s="177"/>
      <c r="C247" s="177"/>
      <c r="D247" s="177"/>
      <c r="E247" s="177"/>
      <c r="F247" s="177"/>
      <c r="G247" s="177"/>
      <c r="H247" s="177"/>
      <c r="I247" s="177"/>
      <c r="J247" s="177"/>
      <c r="K247" s="177"/>
      <c r="L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</row>
    <row r="248" spans="1:26" ht="15.75" customHeight="1">
      <c r="A248" s="177"/>
      <c r="B248" s="177"/>
      <c r="C248" s="177"/>
      <c r="D248" s="177"/>
      <c r="E248" s="177"/>
      <c r="F248" s="177"/>
      <c r="G248" s="177"/>
      <c r="H248" s="177"/>
      <c r="I248" s="177"/>
      <c r="J248" s="177"/>
      <c r="K248" s="177"/>
      <c r="L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</row>
    <row r="249" spans="1:26" ht="15.75" customHeight="1">
      <c r="A249" s="177"/>
      <c r="B249" s="177"/>
      <c r="C249" s="177"/>
      <c r="D249" s="177"/>
      <c r="E249" s="177"/>
      <c r="F249" s="177"/>
      <c r="G249" s="177"/>
      <c r="H249" s="177"/>
      <c r="I249" s="177"/>
      <c r="J249" s="177"/>
      <c r="K249" s="177"/>
      <c r="L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</row>
    <row r="250" spans="1:26" ht="15.75" customHeight="1">
      <c r="A250" s="177"/>
      <c r="B250" s="177"/>
      <c r="C250" s="177"/>
      <c r="D250" s="177"/>
      <c r="E250" s="177"/>
      <c r="F250" s="177"/>
      <c r="G250" s="177"/>
      <c r="H250" s="177"/>
      <c r="I250" s="177"/>
      <c r="J250" s="177"/>
      <c r="K250" s="177"/>
      <c r="L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</row>
    <row r="251" spans="1:26" ht="15.75" customHeight="1">
      <c r="A251" s="177"/>
      <c r="B251" s="177"/>
      <c r="C251" s="177"/>
      <c r="D251" s="177"/>
      <c r="E251" s="177"/>
      <c r="F251" s="177"/>
      <c r="G251" s="177"/>
      <c r="H251" s="177"/>
      <c r="I251" s="177"/>
      <c r="J251" s="177"/>
      <c r="K251" s="177"/>
      <c r="L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</row>
    <row r="252" spans="1:26" ht="15.75" customHeight="1">
      <c r="A252" s="177"/>
      <c r="B252" s="177"/>
      <c r="C252" s="177"/>
      <c r="D252" s="177"/>
      <c r="E252" s="177"/>
      <c r="F252" s="177"/>
      <c r="G252" s="177"/>
      <c r="H252" s="177"/>
      <c r="I252" s="177"/>
      <c r="J252" s="177"/>
      <c r="K252" s="177"/>
      <c r="L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</row>
    <row r="253" spans="1:26" ht="15.75" customHeight="1">
      <c r="A253" s="177"/>
      <c r="B253" s="177"/>
      <c r="C253" s="177"/>
      <c r="D253" s="177"/>
      <c r="E253" s="177"/>
      <c r="F253" s="177"/>
      <c r="G253" s="177"/>
      <c r="H253" s="177"/>
      <c r="I253" s="177"/>
      <c r="J253" s="177"/>
      <c r="K253" s="177"/>
      <c r="L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</row>
    <row r="254" spans="1:26" ht="15.75" customHeight="1">
      <c r="A254" s="177"/>
      <c r="B254" s="177"/>
      <c r="C254" s="177"/>
      <c r="D254" s="177"/>
      <c r="E254" s="177"/>
      <c r="F254" s="177"/>
      <c r="G254" s="177"/>
      <c r="H254" s="177"/>
      <c r="I254" s="177"/>
      <c r="J254" s="177"/>
      <c r="K254" s="177"/>
      <c r="L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</row>
    <row r="255" spans="1:26" ht="15.75" customHeight="1">
      <c r="A255" s="177"/>
      <c r="B255" s="177"/>
      <c r="C255" s="177"/>
      <c r="D255" s="177"/>
      <c r="E255" s="177"/>
      <c r="F255" s="177"/>
      <c r="G255" s="177"/>
      <c r="H255" s="177"/>
      <c r="I255" s="177"/>
      <c r="J255" s="177"/>
      <c r="K255" s="177"/>
      <c r="L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</row>
    <row r="256" spans="1:26" ht="15.75" customHeight="1">
      <c r="A256" s="177"/>
      <c r="B256" s="177"/>
      <c r="C256" s="177"/>
      <c r="D256" s="177"/>
      <c r="E256" s="177"/>
      <c r="F256" s="177"/>
      <c r="G256" s="177"/>
      <c r="H256" s="177"/>
      <c r="I256" s="177"/>
      <c r="J256" s="177"/>
      <c r="K256" s="177"/>
      <c r="L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</row>
    <row r="257" spans="1:26" ht="15.75" customHeight="1">
      <c r="A257" s="177"/>
      <c r="B257" s="177"/>
      <c r="C257" s="177"/>
      <c r="D257" s="177"/>
      <c r="E257" s="177"/>
      <c r="F257" s="177"/>
      <c r="G257" s="177"/>
      <c r="H257" s="177"/>
      <c r="I257" s="177"/>
      <c r="J257" s="177"/>
      <c r="K257" s="177"/>
      <c r="L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</row>
    <row r="258" spans="1:26" ht="15.75" customHeight="1">
      <c r="A258" s="177"/>
      <c r="B258" s="177"/>
      <c r="C258" s="177"/>
      <c r="D258" s="177"/>
      <c r="E258" s="177"/>
      <c r="F258" s="177"/>
      <c r="G258" s="177"/>
      <c r="H258" s="177"/>
      <c r="I258" s="177"/>
      <c r="J258" s="177"/>
      <c r="K258" s="177"/>
      <c r="L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</row>
    <row r="259" spans="1:26" ht="15.75" customHeight="1">
      <c r="A259" s="177"/>
      <c r="B259" s="177"/>
      <c r="C259" s="177"/>
      <c r="D259" s="177"/>
      <c r="E259" s="177"/>
      <c r="F259" s="177"/>
      <c r="G259" s="177"/>
      <c r="H259" s="177"/>
      <c r="I259" s="177"/>
      <c r="J259" s="177"/>
      <c r="K259" s="177"/>
      <c r="L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</row>
    <row r="260" spans="1:26" ht="15.75" customHeight="1">
      <c r="A260" s="177"/>
      <c r="B260" s="177"/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</row>
    <row r="261" spans="1:26" ht="15.75" customHeight="1">
      <c r="A261" s="177"/>
      <c r="B261" s="177"/>
      <c r="C261" s="177"/>
      <c r="D261" s="177"/>
      <c r="E261" s="177"/>
      <c r="F261" s="177"/>
      <c r="G261" s="177"/>
      <c r="H261" s="177"/>
      <c r="I261" s="177"/>
      <c r="J261" s="177"/>
      <c r="K261" s="177"/>
      <c r="L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</row>
    <row r="262" spans="1:26" ht="15.75" customHeight="1">
      <c r="A262" s="177"/>
      <c r="B262" s="177"/>
      <c r="C262" s="177"/>
      <c r="D262" s="177"/>
      <c r="E262" s="177"/>
      <c r="F262" s="177"/>
      <c r="G262" s="177"/>
      <c r="H262" s="177"/>
      <c r="I262" s="177"/>
      <c r="J262" s="177"/>
      <c r="K262" s="177"/>
      <c r="L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</row>
    <row r="263" spans="1:26" ht="15.75" customHeight="1">
      <c r="A263" s="177"/>
      <c r="B263" s="177"/>
      <c r="C263" s="177"/>
      <c r="D263" s="177"/>
      <c r="E263" s="177"/>
      <c r="F263" s="177"/>
      <c r="G263" s="177"/>
      <c r="H263" s="177"/>
      <c r="I263" s="177"/>
      <c r="J263" s="177"/>
      <c r="K263" s="177"/>
      <c r="L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</row>
    <row r="264" spans="1:26" ht="15.75" customHeight="1">
      <c r="A264" s="177"/>
      <c r="B264" s="177"/>
      <c r="C264" s="177"/>
      <c r="D264" s="177"/>
      <c r="E264" s="177"/>
      <c r="F264" s="177"/>
      <c r="G264" s="177"/>
      <c r="H264" s="177"/>
      <c r="I264" s="177"/>
      <c r="J264" s="177"/>
      <c r="K264" s="177"/>
      <c r="L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</row>
    <row r="265" spans="1:26" ht="15.75" customHeight="1">
      <c r="A265" s="177"/>
      <c r="B265" s="177"/>
      <c r="C265" s="177"/>
      <c r="D265" s="177"/>
      <c r="E265" s="177"/>
      <c r="F265" s="177"/>
      <c r="G265" s="177"/>
      <c r="H265" s="177"/>
      <c r="I265" s="177"/>
      <c r="J265" s="177"/>
      <c r="K265" s="177"/>
      <c r="L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</row>
    <row r="266" spans="1:26" ht="15.75" customHeight="1">
      <c r="A266" s="177"/>
      <c r="B266" s="177"/>
      <c r="C266" s="177"/>
      <c r="D266" s="177"/>
      <c r="E266" s="177"/>
      <c r="F266" s="177"/>
      <c r="G266" s="177"/>
      <c r="H266" s="177"/>
      <c r="I266" s="177"/>
      <c r="J266" s="177"/>
      <c r="K266" s="177"/>
      <c r="L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</row>
    <row r="267" spans="1:26" ht="15.75" customHeight="1">
      <c r="A267" s="177"/>
      <c r="B267" s="177"/>
      <c r="C267" s="177"/>
      <c r="D267" s="177"/>
      <c r="E267" s="177"/>
      <c r="F267" s="177"/>
      <c r="G267" s="177"/>
      <c r="H267" s="177"/>
      <c r="I267" s="177"/>
      <c r="J267" s="177"/>
      <c r="K267" s="177"/>
      <c r="L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</row>
    <row r="268" spans="1:26" ht="15.75" customHeight="1">
      <c r="A268" s="177"/>
      <c r="B268" s="177"/>
      <c r="C268" s="177"/>
      <c r="D268" s="177"/>
      <c r="E268" s="177"/>
      <c r="F268" s="177"/>
      <c r="G268" s="177"/>
      <c r="H268" s="177"/>
      <c r="I268" s="177"/>
      <c r="J268" s="177"/>
      <c r="K268" s="177"/>
      <c r="L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</row>
    <row r="269" spans="1:26" ht="15.75" customHeight="1">
      <c r="A269" s="177"/>
      <c r="B269" s="177"/>
      <c r="C269" s="177"/>
      <c r="D269" s="177"/>
      <c r="E269" s="177"/>
      <c r="F269" s="177"/>
      <c r="G269" s="177"/>
      <c r="H269" s="177"/>
      <c r="I269" s="177"/>
      <c r="J269" s="177"/>
      <c r="K269" s="177"/>
      <c r="L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</row>
    <row r="270" spans="1:26" ht="15.75" customHeight="1">
      <c r="A270" s="177"/>
      <c r="B270" s="177"/>
      <c r="C270" s="177"/>
      <c r="D270" s="177"/>
      <c r="E270" s="177"/>
      <c r="F270" s="177"/>
      <c r="G270" s="177"/>
      <c r="H270" s="177"/>
      <c r="I270" s="177"/>
      <c r="J270" s="177"/>
      <c r="K270" s="177"/>
      <c r="L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</row>
    <row r="271" spans="1:26" ht="15.75" customHeight="1">
      <c r="A271" s="177"/>
      <c r="B271" s="177"/>
      <c r="C271" s="177"/>
      <c r="D271" s="177"/>
      <c r="E271" s="177"/>
      <c r="F271" s="177"/>
      <c r="G271" s="177"/>
      <c r="H271" s="177"/>
      <c r="I271" s="177"/>
      <c r="J271" s="177"/>
      <c r="K271" s="177"/>
      <c r="L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</row>
    <row r="272" spans="1:26" ht="15.75" customHeight="1">
      <c r="A272" s="177"/>
      <c r="B272" s="177"/>
      <c r="C272" s="177"/>
      <c r="D272" s="177"/>
      <c r="E272" s="177"/>
      <c r="F272" s="177"/>
      <c r="G272" s="177"/>
      <c r="H272" s="177"/>
      <c r="I272" s="177"/>
      <c r="J272" s="177"/>
      <c r="K272" s="177"/>
      <c r="L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</row>
    <row r="273" spans="1:26" ht="15.75" customHeight="1">
      <c r="A273" s="177"/>
      <c r="B273" s="177"/>
      <c r="C273" s="177"/>
      <c r="D273" s="177"/>
      <c r="E273" s="177"/>
      <c r="F273" s="177"/>
      <c r="G273" s="177"/>
      <c r="H273" s="177"/>
      <c r="I273" s="177"/>
      <c r="J273" s="177"/>
      <c r="K273" s="177"/>
      <c r="L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</row>
    <row r="274" spans="1:26" ht="15.75" customHeight="1">
      <c r="A274" s="177"/>
      <c r="B274" s="177"/>
      <c r="C274" s="177"/>
      <c r="D274" s="177"/>
      <c r="E274" s="177"/>
      <c r="F274" s="177"/>
      <c r="G274" s="177"/>
      <c r="H274" s="177"/>
      <c r="I274" s="177"/>
      <c r="J274" s="177"/>
      <c r="K274" s="177"/>
      <c r="L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</row>
    <row r="275" spans="1:26" ht="15.75" customHeight="1">
      <c r="A275" s="177"/>
      <c r="B275" s="177"/>
      <c r="C275" s="177"/>
      <c r="D275" s="177"/>
      <c r="E275" s="177"/>
      <c r="F275" s="177"/>
      <c r="G275" s="177"/>
      <c r="H275" s="177"/>
      <c r="I275" s="177"/>
      <c r="J275" s="177"/>
      <c r="K275" s="177"/>
      <c r="L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</row>
    <row r="276" spans="1:26" ht="15.75" customHeight="1">
      <c r="A276" s="177"/>
      <c r="B276" s="177"/>
      <c r="C276" s="177"/>
      <c r="D276" s="177"/>
      <c r="E276" s="177"/>
      <c r="F276" s="177"/>
      <c r="G276" s="177"/>
      <c r="H276" s="177"/>
      <c r="I276" s="177"/>
      <c r="J276" s="177"/>
      <c r="K276" s="177"/>
      <c r="L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</row>
    <row r="277" spans="1:26" ht="15.75" customHeight="1">
      <c r="A277" s="177"/>
      <c r="B277" s="177"/>
      <c r="C277" s="177"/>
      <c r="D277" s="177"/>
      <c r="E277" s="177"/>
      <c r="F277" s="177"/>
      <c r="G277" s="177"/>
      <c r="H277" s="177"/>
      <c r="I277" s="177"/>
      <c r="J277" s="177"/>
      <c r="K277" s="177"/>
      <c r="L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</row>
    <row r="278" spans="1:26" ht="15.75" customHeight="1">
      <c r="A278" s="177"/>
      <c r="B278" s="177"/>
      <c r="C278" s="177"/>
      <c r="D278" s="177"/>
      <c r="E278" s="177"/>
      <c r="F278" s="177"/>
      <c r="G278" s="177"/>
      <c r="H278" s="177"/>
      <c r="I278" s="177"/>
      <c r="J278" s="177"/>
      <c r="K278" s="177"/>
      <c r="L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</row>
    <row r="279" spans="1:26" ht="15.75" customHeight="1">
      <c r="A279" s="177"/>
      <c r="B279" s="177"/>
      <c r="C279" s="177"/>
      <c r="D279" s="177"/>
      <c r="E279" s="177"/>
      <c r="F279" s="177"/>
      <c r="G279" s="177"/>
      <c r="H279" s="177"/>
      <c r="I279" s="177"/>
      <c r="J279" s="177"/>
      <c r="K279" s="177"/>
      <c r="L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</row>
    <row r="280" spans="1:26" ht="15.75" customHeight="1">
      <c r="A280" s="177"/>
      <c r="B280" s="177"/>
      <c r="C280" s="177"/>
      <c r="D280" s="177"/>
      <c r="E280" s="177"/>
      <c r="F280" s="177"/>
      <c r="G280" s="177"/>
      <c r="H280" s="177"/>
      <c r="I280" s="177"/>
      <c r="J280" s="177"/>
      <c r="K280" s="177"/>
      <c r="L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</row>
    <row r="281" spans="1:26" ht="15.75" customHeight="1">
      <c r="A281" s="177"/>
      <c r="B281" s="177"/>
      <c r="C281" s="177"/>
      <c r="D281" s="177"/>
      <c r="E281" s="177"/>
      <c r="F281" s="177"/>
      <c r="G281" s="177"/>
      <c r="H281" s="177"/>
      <c r="I281" s="177"/>
      <c r="J281" s="177"/>
      <c r="K281" s="177"/>
      <c r="L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</row>
    <row r="282" spans="1:26" ht="15.75" customHeight="1">
      <c r="A282" s="177"/>
      <c r="B282" s="177"/>
      <c r="C282" s="177"/>
      <c r="D282" s="177"/>
      <c r="E282" s="177"/>
      <c r="F282" s="177"/>
      <c r="G282" s="177"/>
      <c r="H282" s="177"/>
      <c r="I282" s="177"/>
      <c r="J282" s="177"/>
      <c r="K282" s="177"/>
      <c r="L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</row>
    <row r="283" spans="1:26" ht="15.75" customHeight="1">
      <c r="A283" s="177"/>
      <c r="B283" s="177"/>
      <c r="C283" s="177"/>
      <c r="D283" s="177"/>
      <c r="E283" s="177"/>
      <c r="F283" s="177"/>
      <c r="G283" s="177"/>
      <c r="H283" s="177"/>
      <c r="I283" s="177"/>
      <c r="J283" s="177"/>
      <c r="K283" s="177"/>
      <c r="L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</row>
    <row r="284" spans="1:26" ht="15.75" customHeight="1">
      <c r="A284" s="177"/>
      <c r="B284" s="177"/>
      <c r="C284" s="177"/>
      <c r="D284" s="177"/>
      <c r="E284" s="177"/>
      <c r="F284" s="177"/>
      <c r="G284" s="177"/>
      <c r="H284" s="177"/>
      <c r="I284" s="177"/>
      <c r="J284" s="177"/>
      <c r="K284" s="177"/>
      <c r="L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</row>
    <row r="285" spans="1:26" ht="15.75" customHeight="1">
      <c r="A285" s="177"/>
      <c r="B285" s="177"/>
      <c r="C285" s="177"/>
      <c r="D285" s="177"/>
      <c r="E285" s="177"/>
      <c r="F285" s="177"/>
      <c r="G285" s="177"/>
      <c r="H285" s="177"/>
      <c r="I285" s="177"/>
      <c r="J285" s="177"/>
      <c r="K285" s="177"/>
      <c r="L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</row>
    <row r="286" spans="1:26" ht="15.75" customHeight="1">
      <c r="A286" s="177"/>
      <c r="B286" s="177"/>
      <c r="C286" s="177"/>
      <c r="D286" s="177"/>
      <c r="E286" s="177"/>
      <c r="F286" s="177"/>
      <c r="G286" s="177"/>
      <c r="H286" s="177"/>
      <c r="I286" s="177"/>
      <c r="J286" s="177"/>
      <c r="K286" s="177"/>
      <c r="L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</row>
    <row r="287" spans="1:26" ht="15.75" customHeight="1">
      <c r="A287" s="177"/>
      <c r="B287" s="177"/>
      <c r="C287" s="177"/>
      <c r="D287" s="177"/>
      <c r="E287" s="177"/>
      <c r="F287" s="177"/>
      <c r="G287" s="177"/>
      <c r="H287" s="177"/>
      <c r="I287" s="177"/>
      <c r="J287" s="177"/>
      <c r="K287" s="177"/>
      <c r="L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</row>
    <row r="288" spans="1:26" ht="15.75" customHeight="1">
      <c r="A288" s="177"/>
      <c r="B288" s="177"/>
      <c r="C288" s="177"/>
      <c r="D288" s="177"/>
      <c r="E288" s="177"/>
      <c r="F288" s="177"/>
      <c r="G288" s="177"/>
      <c r="H288" s="177"/>
      <c r="I288" s="177"/>
      <c r="J288" s="177"/>
      <c r="K288" s="177"/>
      <c r="L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</row>
    <row r="289" spans="1:26" ht="15.75" customHeight="1">
      <c r="A289" s="177"/>
      <c r="B289" s="177"/>
      <c r="C289" s="177"/>
      <c r="D289" s="177"/>
      <c r="E289" s="177"/>
      <c r="F289" s="177"/>
      <c r="G289" s="177"/>
      <c r="H289" s="177"/>
      <c r="I289" s="177"/>
      <c r="J289" s="177"/>
      <c r="K289" s="177"/>
      <c r="L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</row>
    <row r="290" spans="1:26" ht="15.75" customHeight="1">
      <c r="A290" s="177"/>
      <c r="B290" s="177"/>
      <c r="C290" s="177"/>
      <c r="D290" s="177"/>
      <c r="E290" s="177"/>
      <c r="F290" s="177"/>
      <c r="G290" s="177"/>
      <c r="H290" s="177"/>
      <c r="I290" s="177"/>
      <c r="J290" s="177"/>
      <c r="K290" s="177"/>
      <c r="L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</row>
    <row r="291" spans="1:26" ht="15.75" customHeight="1">
      <c r="A291" s="177"/>
      <c r="B291" s="177"/>
      <c r="C291" s="177"/>
      <c r="D291" s="177"/>
      <c r="E291" s="177"/>
      <c r="F291" s="177"/>
      <c r="G291" s="177"/>
      <c r="H291" s="177"/>
      <c r="I291" s="177"/>
      <c r="J291" s="177"/>
      <c r="K291" s="177"/>
      <c r="L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</row>
    <row r="292" spans="1:26" ht="15.75" customHeight="1">
      <c r="A292" s="177"/>
      <c r="B292" s="177"/>
      <c r="C292" s="177"/>
      <c r="D292" s="177"/>
      <c r="E292" s="177"/>
      <c r="F292" s="177"/>
      <c r="G292" s="177"/>
      <c r="H292" s="177"/>
      <c r="I292" s="177"/>
      <c r="J292" s="177"/>
      <c r="K292" s="177"/>
      <c r="L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</row>
    <row r="293" spans="1:26" ht="15.75" customHeight="1">
      <c r="A293" s="177"/>
      <c r="B293" s="177"/>
      <c r="C293" s="177"/>
      <c r="D293" s="177"/>
      <c r="E293" s="177"/>
      <c r="F293" s="177"/>
      <c r="G293" s="177"/>
      <c r="H293" s="177"/>
      <c r="I293" s="177"/>
      <c r="J293" s="177"/>
      <c r="K293" s="177"/>
      <c r="L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</row>
    <row r="294" spans="1:26" ht="15.75" customHeight="1">
      <c r="A294" s="177"/>
      <c r="B294" s="177"/>
      <c r="C294" s="177"/>
      <c r="D294" s="177"/>
      <c r="E294" s="177"/>
      <c r="F294" s="177"/>
      <c r="G294" s="177"/>
      <c r="H294" s="177"/>
      <c r="I294" s="177"/>
      <c r="J294" s="177"/>
      <c r="K294" s="177"/>
      <c r="L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</row>
    <row r="295" spans="1:26" ht="15.75" customHeight="1">
      <c r="A295" s="177"/>
      <c r="B295" s="177"/>
      <c r="C295" s="177"/>
      <c r="D295" s="177"/>
      <c r="E295" s="177"/>
      <c r="F295" s="177"/>
      <c r="G295" s="177"/>
      <c r="H295" s="177"/>
      <c r="I295" s="177"/>
      <c r="J295" s="177"/>
      <c r="K295" s="177"/>
      <c r="L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</row>
    <row r="296" spans="1:26" ht="15.75" customHeight="1">
      <c r="A296" s="177"/>
      <c r="B296" s="177"/>
      <c r="C296" s="177"/>
      <c r="D296" s="177"/>
      <c r="E296" s="177"/>
      <c r="F296" s="177"/>
      <c r="G296" s="177"/>
      <c r="H296" s="177"/>
      <c r="I296" s="177"/>
      <c r="J296" s="177"/>
      <c r="K296" s="177"/>
      <c r="L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</row>
    <row r="297" spans="1:26" ht="15.75" customHeight="1">
      <c r="A297" s="177"/>
      <c r="B297" s="177"/>
      <c r="C297" s="177"/>
      <c r="D297" s="177"/>
      <c r="E297" s="177"/>
      <c r="F297" s="177"/>
      <c r="G297" s="177"/>
      <c r="H297" s="177"/>
      <c r="I297" s="177"/>
      <c r="J297" s="177"/>
      <c r="K297" s="177"/>
      <c r="L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</row>
    <row r="298" spans="1:26" ht="15.75" customHeight="1">
      <c r="A298" s="177"/>
      <c r="B298" s="177"/>
      <c r="C298" s="177"/>
      <c r="D298" s="177"/>
      <c r="E298" s="177"/>
      <c r="F298" s="177"/>
      <c r="G298" s="177"/>
      <c r="H298" s="177"/>
      <c r="I298" s="177"/>
      <c r="J298" s="177"/>
      <c r="K298" s="177"/>
      <c r="L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</row>
    <row r="299" spans="1:26" ht="15.75" customHeight="1">
      <c r="A299" s="177"/>
      <c r="B299" s="177"/>
      <c r="C299" s="177"/>
      <c r="D299" s="177"/>
      <c r="E299" s="177"/>
      <c r="F299" s="177"/>
      <c r="G299" s="177"/>
      <c r="H299" s="177"/>
      <c r="I299" s="177"/>
      <c r="J299" s="177"/>
      <c r="K299" s="177"/>
      <c r="L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</row>
    <row r="300" spans="1:26" ht="15.75" customHeight="1">
      <c r="A300" s="177"/>
      <c r="B300" s="177"/>
      <c r="C300" s="177"/>
      <c r="D300" s="177"/>
      <c r="E300" s="177"/>
      <c r="F300" s="177"/>
      <c r="G300" s="177"/>
      <c r="H300" s="177"/>
      <c r="I300" s="177"/>
      <c r="J300" s="177"/>
      <c r="K300" s="177"/>
      <c r="L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</row>
    <row r="301" spans="1:26" ht="15.75" customHeight="1">
      <c r="A301" s="177"/>
      <c r="B301" s="177"/>
      <c r="C301" s="177"/>
      <c r="D301" s="177"/>
      <c r="E301" s="177"/>
      <c r="F301" s="177"/>
      <c r="G301" s="177"/>
      <c r="H301" s="177"/>
      <c r="I301" s="177"/>
      <c r="J301" s="177"/>
      <c r="K301" s="177"/>
      <c r="L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</row>
    <row r="302" spans="1:26" ht="15.75" customHeight="1">
      <c r="A302" s="177"/>
      <c r="B302" s="177"/>
      <c r="C302" s="177"/>
      <c r="D302" s="177"/>
      <c r="E302" s="177"/>
      <c r="F302" s="177"/>
      <c r="G302" s="177"/>
      <c r="H302" s="177"/>
      <c r="I302" s="177"/>
      <c r="J302" s="177"/>
      <c r="K302" s="177"/>
      <c r="L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</row>
    <row r="303" spans="1:26" ht="15.75" customHeight="1">
      <c r="A303" s="177"/>
      <c r="B303" s="177"/>
      <c r="C303" s="177"/>
      <c r="D303" s="177"/>
      <c r="E303" s="177"/>
      <c r="F303" s="177"/>
      <c r="G303" s="177"/>
      <c r="H303" s="177"/>
      <c r="I303" s="177"/>
      <c r="J303" s="177"/>
      <c r="K303" s="177"/>
      <c r="L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</row>
    <row r="304" spans="1:26" ht="15.75" customHeight="1">
      <c r="A304" s="177"/>
      <c r="B304" s="177"/>
      <c r="C304" s="177"/>
      <c r="D304" s="177"/>
      <c r="E304" s="177"/>
      <c r="F304" s="177"/>
      <c r="G304" s="177"/>
      <c r="H304" s="177"/>
      <c r="I304" s="177"/>
      <c r="J304" s="177"/>
      <c r="K304" s="177"/>
      <c r="L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</row>
    <row r="305" spans="1:26" ht="15.75" customHeight="1">
      <c r="A305" s="177"/>
      <c r="B305" s="177"/>
      <c r="C305" s="177"/>
      <c r="D305" s="177"/>
      <c r="E305" s="177"/>
      <c r="F305" s="177"/>
      <c r="G305" s="177"/>
      <c r="H305" s="177"/>
      <c r="I305" s="177"/>
      <c r="J305" s="177"/>
      <c r="K305" s="177"/>
      <c r="L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</row>
    <row r="306" spans="1:26" ht="15.75" customHeight="1">
      <c r="A306" s="177"/>
      <c r="B306" s="177"/>
      <c r="C306" s="177"/>
      <c r="D306" s="177"/>
      <c r="E306" s="177"/>
      <c r="F306" s="177"/>
      <c r="G306" s="177"/>
      <c r="H306" s="177"/>
      <c r="I306" s="177"/>
      <c r="J306" s="177"/>
      <c r="K306" s="177"/>
      <c r="L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</row>
    <row r="307" spans="1:26" ht="15.75" customHeight="1">
      <c r="A307" s="177"/>
      <c r="B307" s="177"/>
      <c r="C307" s="177"/>
      <c r="D307" s="177"/>
      <c r="E307" s="177"/>
      <c r="F307" s="177"/>
      <c r="G307" s="177"/>
      <c r="H307" s="177"/>
      <c r="I307" s="177"/>
      <c r="J307" s="177"/>
      <c r="K307" s="177"/>
      <c r="L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</row>
    <row r="308" spans="1:26" ht="15.75" customHeight="1">
      <c r="A308" s="177"/>
      <c r="B308" s="177"/>
      <c r="C308" s="177"/>
      <c r="D308" s="177"/>
      <c r="E308" s="177"/>
      <c r="F308" s="177"/>
      <c r="G308" s="177"/>
      <c r="H308" s="177"/>
      <c r="I308" s="177"/>
      <c r="J308" s="177"/>
      <c r="K308" s="177"/>
      <c r="L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</row>
    <row r="309" spans="1:26" ht="15.75" customHeight="1">
      <c r="A309" s="177"/>
      <c r="B309" s="177"/>
      <c r="C309" s="177"/>
      <c r="D309" s="177"/>
      <c r="E309" s="177"/>
      <c r="F309" s="177"/>
      <c r="G309" s="177"/>
      <c r="H309" s="177"/>
      <c r="I309" s="177"/>
      <c r="J309" s="177"/>
      <c r="K309" s="177"/>
      <c r="L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</row>
    <row r="310" spans="1:26" ht="15.75" customHeight="1">
      <c r="A310" s="177"/>
      <c r="B310" s="177"/>
      <c r="C310" s="177"/>
      <c r="D310" s="177"/>
      <c r="E310" s="177"/>
      <c r="F310" s="177"/>
      <c r="G310" s="177"/>
      <c r="H310" s="177"/>
      <c r="I310" s="177"/>
      <c r="J310" s="177"/>
      <c r="K310" s="177"/>
      <c r="L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</row>
    <row r="311" spans="1:26" ht="15.75" customHeight="1">
      <c r="A311" s="177"/>
      <c r="B311" s="177"/>
      <c r="C311" s="177"/>
      <c r="D311" s="177"/>
      <c r="E311" s="177"/>
      <c r="F311" s="177"/>
      <c r="G311" s="177"/>
      <c r="H311" s="177"/>
      <c r="I311" s="177"/>
      <c r="J311" s="177"/>
      <c r="K311" s="177"/>
      <c r="L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</row>
    <row r="312" spans="1:26" ht="15.75" customHeight="1">
      <c r="A312" s="177"/>
      <c r="B312" s="177"/>
      <c r="C312" s="177"/>
      <c r="D312" s="177"/>
      <c r="E312" s="177"/>
      <c r="F312" s="177"/>
      <c r="G312" s="177"/>
      <c r="H312" s="177"/>
      <c r="I312" s="177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</row>
    <row r="313" spans="1:26" ht="15.75" customHeight="1">
      <c r="A313" s="177"/>
      <c r="B313" s="177"/>
      <c r="C313" s="177"/>
      <c r="D313" s="177"/>
      <c r="E313" s="177"/>
      <c r="F313" s="177"/>
      <c r="G313" s="177"/>
      <c r="H313" s="177"/>
      <c r="I313" s="177"/>
      <c r="J313" s="177"/>
      <c r="K313" s="177"/>
      <c r="L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</row>
    <row r="314" spans="1:26" ht="15.75" customHeight="1">
      <c r="A314" s="177"/>
      <c r="B314" s="177"/>
      <c r="C314" s="177"/>
      <c r="D314" s="177"/>
      <c r="E314" s="177"/>
      <c r="F314" s="177"/>
      <c r="G314" s="177"/>
      <c r="H314" s="177"/>
      <c r="I314" s="177"/>
      <c r="J314" s="177"/>
      <c r="K314" s="177"/>
      <c r="L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</row>
    <row r="315" spans="1:26" ht="15.75" customHeight="1">
      <c r="A315" s="177"/>
      <c r="B315" s="177"/>
      <c r="C315" s="177"/>
      <c r="D315" s="177"/>
      <c r="E315" s="177"/>
      <c r="F315" s="177"/>
      <c r="G315" s="177"/>
      <c r="H315" s="177"/>
      <c r="I315" s="177"/>
      <c r="J315" s="177"/>
      <c r="K315" s="177"/>
      <c r="L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</row>
    <row r="316" spans="1:26" ht="15.75" customHeight="1">
      <c r="A316" s="177"/>
      <c r="B316" s="177"/>
      <c r="C316" s="177"/>
      <c r="D316" s="177"/>
      <c r="E316" s="177"/>
      <c r="F316" s="177"/>
      <c r="G316" s="177"/>
      <c r="H316" s="177"/>
      <c r="I316" s="177"/>
      <c r="J316" s="177"/>
      <c r="K316" s="177"/>
      <c r="L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</row>
    <row r="317" spans="1:26" ht="15.75" customHeight="1">
      <c r="A317" s="177"/>
      <c r="B317" s="177"/>
      <c r="C317" s="177"/>
      <c r="D317" s="177"/>
      <c r="E317" s="177"/>
      <c r="F317" s="177"/>
      <c r="G317" s="177"/>
      <c r="H317" s="177"/>
      <c r="I317" s="177"/>
      <c r="J317" s="177"/>
      <c r="K317" s="177"/>
      <c r="L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</row>
    <row r="318" spans="1:26" ht="15.75" customHeight="1">
      <c r="A318" s="177"/>
      <c r="B318" s="177"/>
      <c r="C318" s="177"/>
      <c r="D318" s="177"/>
      <c r="E318" s="177"/>
      <c r="F318" s="177"/>
      <c r="G318" s="177"/>
      <c r="H318" s="177"/>
      <c r="I318" s="177"/>
      <c r="J318" s="177"/>
      <c r="K318" s="177"/>
      <c r="L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</row>
    <row r="319" spans="1:26" ht="15.75" customHeight="1">
      <c r="A319" s="177"/>
      <c r="B319" s="177"/>
      <c r="C319" s="177"/>
      <c r="D319" s="177"/>
      <c r="E319" s="177"/>
      <c r="F319" s="177"/>
      <c r="G319" s="177"/>
      <c r="H319" s="177"/>
      <c r="I319" s="177"/>
      <c r="J319" s="177"/>
      <c r="K319" s="177"/>
      <c r="L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</row>
    <row r="320" spans="1:26" ht="15.75" customHeight="1">
      <c r="A320" s="177"/>
      <c r="B320" s="177"/>
      <c r="C320" s="177"/>
      <c r="D320" s="177"/>
      <c r="E320" s="177"/>
      <c r="F320" s="177"/>
      <c r="G320" s="177"/>
      <c r="H320" s="177"/>
      <c r="I320" s="177"/>
      <c r="J320" s="177"/>
      <c r="K320" s="177"/>
      <c r="L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</row>
    <row r="321" spans="1:26" ht="15.75" customHeight="1">
      <c r="A321" s="177"/>
      <c r="B321" s="177"/>
      <c r="C321" s="177"/>
      <c r="D321" s="177"/>
      <c r="E321" s="177"/>
      <c r="F321" s="177"/>
      <c r="G321" s="177"/>
      <c r="H321" s="177"/>
      <c r="I321" s="177"/>
      <c r="J321" s="177"/>
      <c r="K321" s="177"/>
      <c r="L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</row>
    <row r="322" spans="1:26" ht="15.75" customHeight="1">
      <c r="A322" s="177"/>
      <c r="B322" s="177"/>
      <c r="C322" s="177"/>
      <c r="D322" s="177"/>
      <c r="E322" s="177"/>
      <c r="F322" s="177"/>
      <c r="G322" s="177"/>
      <c r="H322" s="177"/>
      <c r="I322" s="177"/>
      <c r="J322" s="177"/>
      <c r="K322" s="177"/>
      <c r="L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</row>
    <row r="323" spans="1:26" ht="15.75" customHeight="1">
      <c r="A323" s="177"/>
      <c r="B323" s="177"/>
      <c r="C323" s="177"/>
      <c r="D323" s="177"/>
      <c r="E323" s="177"/>
      <c r="F323" s="177"/>
      <c r="G323" s="177"/>
      <c r="H323" s="177"/>
      <c r="I323" s="177"/>
      <c r="J323" s="177"/>
      <c r="K323" s="177"/>
      <c r="L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</row>
    <row r="324" spans="1:26" ht="15.75" customHeight="1">
      <c r="A324" s="177"/>
      <c r="B324" s="177"/>
      <c r="C324" s="177"/>
      <c r="D324" s="177"/>
      <c r="E324" s="177"/>
      <c r="F324" s="177"/>
      <c r="G324" s="177"/>
      <c r="H324" s="177"/>
      <c r="I324" s="177"/>
      <c r="J324" s="177"/>
      <c r="K324" s="177"/>
      <c r="L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</row>
    <row r="325" spans="1:26" ht="15.75" customHeight="1">
      <c r="A325" s="177"/>
      <c r="B325" s="177"/>
      <c r="C325" s="177"/>
      <c r="D325" s="177"/>
      <c r="E325" s="177"/>
      <c r="F325" s="177"/>
      <c r="G325" s="177"/>
      <c r="H325" s="177"/>
      <c r="I325" s="177"/>
      <c r="J325" s="177"/>
      <c r="K325" s="177"/>
      <c r="L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</row>
    <row r="326" spans="1:26" ht="15.75" customHeight="1">
      <c r="A326" s="177"/>
      <c r="B326" s="177"/>
      <c r="C326" s="177"/>
      <c r="D326" s="177"/>
      <c r="E326" s="177"/>
      <c r="F326" s="177"/>
      <c r="G326" s="177"/>
      <c r="H326" s="177"/>
      <c r="I326" s="177"/>
      <c r="J326" s="177"/>
      <c r="K326" s="177"/>
      <c r="L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</row>
    <row r="327" spans="1:26" ht="15.75" customHeight="1">
      <c r="A327" s="177"/>
      <c r="B327" s="177"/>
      <c r="C327" s="177"/>
      <c r="D327" s="177"/>
      <c r="E327" s="177"/>
      <c r="F327" s="177"/>
      <c r="G327" s="177"/>
      <c r="H327" s="177"/>
      <c r="I327" s="177"/>
      <c r="J327" s="177"/>
      <c r="K327" s="177"/>
      <c r="L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</row>
    <row r="328" spans="1:26" ht="15.75" customHeight="1">
      <c r="A328" s="177"/>
      <c r="B328" s="177"/>
      <c r="C328" s="177"/>
      <c r="D328" s="177"/>
      <c r="E328" s="177"/>
      <c r="F328" s="177"/>
      <c r="G328" s="177"/>
      <c r="H328" s="177"/>
      <c r="I328" s="177"/>
      <c r="J328" s="177"/>
      <c r="K328" s="177"/>
      <c r="L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</row>
    <row r="329" spans="1:26" ht="15.75" customHeight="1">
      <c r="A329" s="177"/>
      <c r="B329" s="177"/>
      <c r="C329" s="177"/>
      <c r="D329" s="177"/>
      <c r="E329" s="177"/>
      <c r="F329" s="177"/>
      <c r="G329" s="177"/>
      <c r="H329" s="177"/>
      <c r="I329" s="177"/>
      <c r="J329" s="177"/>
      <c r="K329" s="177"/>
      <c r="L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</row>
    <row r="330" spans="1:26" ht="15.75" customHeight="1">
      <c r="A330" s="177"/>
      <c r="B330" s="177"/>
      <c r="C330" s="177"/>
      <c r="D330" s="177"/>
      <c r="E330" s="177"/>
      <c r="F330" s="177"/>
      <c r="G330" s="177"/>
      <c r="H330" s="177"/>
      <c r="I330" s="177"/>
      <c r="J330" s="177"/>
      <c r="K330" s="177"/>
      <c r="L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</row>
    <row r="331" spans="1:26" ht="15.75" customHeight="1">
      <c r="A331" s="177"/>
      <c r="B331" s="177"/>
      <c r="C331" s="177"/>
      <c r="D331" s="177"/>
      <c r="E331" s="177"/>
      <c r="F331" s="177"/>
      <c r="G331" s="177"/>
      <c r="H331" s="177"/>
      <c r="I331" s="177"/>
      <c r="J331" s="177"/>
      <c r="K331" s="177"/>
      <c r="L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</row>
    <row r="332" spans="1:26" ht="15.75" customHeight="1">
      <c r="A332" s="177"/>
      <c r="B332" s="177"/>
      <c r="C332" s="177"/>
      <c r="D332" s="177"/>
      <c r="E332" s="177"/>
      <c r="F332" s="177"/>
      <c r="G332" s="177"/>
      <c r="H332" s="177"/>
      <c r="I332" s="177"/>
      <c r="J332" s="177"/>
      <c r="K332" s="177"/>
      <c r="L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</row>
    <row r="333" spans="1:26" ht="15.75" customHeight="1">
      <c r="A333" s="177"/>
      <c r="B333" s="177"/>
      <c r="C333" s="177"/>
      <c r="D333" s="177"/>
      <c r="E333" s="177"/>
      <c r="F333" s="177"/>
      <c r="G333" s="177"/>
      <c r="H333" s="177"/>
      <c r="I333" s="177"/>
      <c r="J333" s="177"/>
      <c r="K333" s="177"/>
      <c r="L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</row>
    <row r="334" spans="1:26" ht="15.75" customHeight="1">
      <c r="A334" s="177"/>
      <c r="B334" s="177"/>
      <c r="C334" s="177"/>
      <c r="D334" s="177"/>
      <c r="E334" s="177"/>
      <c r="F334" s="177"/>
      <c r="G334" s="177"/>
      <c r="H334" s="177"/>
      <c r="I334" s="177"/>
      <c r="J334" s="177"/>
      <c r="K334" s="177"/>
      <c r="L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</row>
    <row r="335" spans="1:26" ht="15.75" customHeight="1">
      <c r="A335" s="177"/>
      <c r="B335" s="177"/>
      <c r="C335" s="177"/>
      <c r="D335" s="177"/>
      <c r="E335" s="177"/>
      <c r="F335" s="177"/>
      <c r="G335" s="177"/>
      <c r="H335" s="177"/>
      <c r="I335" s="177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</row>
    <row r="336" spans="1:26" ht="15.75" customHeight="1">
      <c r="A336" s="177"/>
      <c r="B336" s="177"/>
      <c r="C336" s="177"/>
      <c r="D336" s="177"/>
      <c r="E336" s="177"/>
      <c r="F336" s="177"/>
      <c r="G336" s="177"/>
      <c r="H336" s="177"/>
      <c r="I336" s="177"/>
      <c r="J336" s="177"/>
      <c r="K336" s="177"/>
      <c r="L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</row>
    <row r="337" spans="1:26" ht="15.75" customHeight="1">
      <c r="A337" s="177"/>
      <c r="B337" s="177"/>
      <c r="C337" s="177"/>
      <c r="D337" s="177"/>
      <c r="E337" s="177"/>
      <c r="F337" s="177"/>
      <c r="G337" s="177"/>
      <c r="H337" s="177"/>
      <c r="I337" s="177"/>
      <c r="J337" s="177"/>
      <c r="K337" s="177"/>
      <c r="L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</row>
    <row r="338" spans="1:26" ht="15.75" customHeight="1">
      <c r="A338" s="177"/>
      <c r="B338" s="177"/>
      <c r="C338" s="177"/>
      <c r="D338" s="177"/>
      <c r="E338" s="177"/>
      <c r="F338" s="177"/>
      <c r="G338" s="177"/>
      <c r="H338" s="177"/>
      <c r="I338" s="177"/>
      <c r="J338" s="177"/>
      <c r="K338" s="177"/>
      <c r="L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</row>
    <row r="339" spans="1:26" ht="15.75" customHeight="1">
      <c r="A339" s="177"/>
      <c r="B339" s="177"/>
      <c r="C339" s="177"/>
      <c r="D339" s="177"/>
      <c r="E339" s="177"/>
      <c r="F339" s="177"/>
      <c r="G339" s="177"/>
      <c r="H339" s="177"/>
      <c r="I339" s="177"/>
      <c r="J339" s="177"/>
      <c r="K339" s="177"/>
      <c r="L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</row>
    <row r="340" spans="1:26" ht="15.75" customHeight="1">
      <c r="A340" s="177"/>
      <c r="B340" s="177"/>
      <c r="C340" s="177"/>
      <c r="D340" s="177"/>
      <c r="E340" s="177"/>
      <c r="F340" s="177"/>
      <c r="G340" s="177"/>
      <c r="H340" s="177"/>
      <c r="I340" s="177"/>
      <c r="J340" s="177"/>
      <c r="K340" s="177"/>
      <c r="L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</row>
    <row r="341" spans="1:26" ht="15.75" customHeight="1">
      <c r="A341" s="177"/>
      <c r="B341" s="177"/>
      <c r="C341" s="177"/>
      <c r="D341" s="177"/>
      <c r="E341" s="177"/>
      <c r="F341" s="177"/>
      <c r="G341" s="177"/>
      <c r="H341" s="177"/>
      <c r="I341" s="177"/>
      <c r="J341" s="177"/>
      <c r="K341" s="177"/>
      <c r="L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</row>
    <row r="342" spans="1:26" ht="15.75" customHeight="1">
      <c r="A342" s="177"/>
      <c r="B342" s="177"/>
      <c r="C342" s="177"/>
      <c r="D342" s="177"/>
      <c r="E342" s="177"/>
      <c r="F342" s="177"/>
      <c r="G342" s="177"/>
      <c r="H342" s="177"/>
      <c r="I342" s="177"/>
      <c r="J342" s="177"/>
      <c r="K342" s="177"/>
      <c r="L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</row>
    <row r="343" spans="1:26" ht="15.75" customHeight="1">
      <c r="A343" s="177"/>
      <c r="B343" s="177"/>
      <c r="C343" s="177"/>
      <c r="D343" s="177"/>
      <c r="E343" s="177"/>
      <c r="F343" s="177"/>
      <c r="G343" s="177"/>
      <c r="H343" s="177"/>
      <c r="I343" s="177"/>
      <c r="J343" s="177"/>
      <c r="K343" s="177"/>
      <c r="L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</row>
    <row r="344" spans="1:26" ht="15.75" customHeight="1">
      <c r="A344" s="177"/>
      <c r="B344" s="177"/>
      <c r="C344" s="177"/>
      <c r="D344" s="177"/>
      <c r="E344" s="177"/>
      <c r="F344" s="177"/>
      <c r="G344" s="177"/>
      <c r="H344" s="177"/>
      <c r="I344" s="177"/>
      <c r="J344" s="177"/>
      <c r="K344" s="177"/>
      <c r="L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</row>
    <row r="345" spans="1:26" ht="15.75" customHeight="1">
      <c r="A345" s="177"/>
      <c r="B345" s="177"/>
      <c r="C345" s="177"/>
      <c r="D345" s="177"/>
      <c r="E345" s="177"/>
      <c r="F345" s="177"/>
      <c r="G345" s="177"/>
      <c r="H345" s="177"/>
      <c r="I345" s="177"/>
      <c r="J345" s="177"/>
      <c r="K345" s="177"/>
      <c r="L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</row>
    <row r="346" spans="1:26" ht="15.75" customHeight="1">
      <c r="A346" s="177"/>
      <c r="B346" s="177"/>
      <c r="C346" s="177"/>
      <c r="D346" s="177"/>
      <c r="E346" s="177"/>
      <c r="F346" s="177"/>
      <c r="G346" s="177"/>
      <c r="H346" s="177"/>
      <c r="I346" s="177"/>
      <c r="J346" s="177"/>
      <c r="K346" s="177"/>
      <c r="L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</row>
    <row r="347" spans="1:26" ht="15.75" customHeight="1">
      <c r="A347" s="177"/>
      <c r="B347" s="177"/>
      <c r="C347" s="177"/>
      <c r="D347" s="177"/>
      <c r="E347" s="177"/>
      <c r="F347" s="177"/>
      <c r="G347" s="177"/>
      <c r="H347" s="177"/>
      <c r="I347" s="177"/>
      <c r="J347" s="177"/>
      <c r="K347" s="177"/>
      <c r="L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</row>
    <row r="348" spans="1:26" ht="15.75" customHeight="1">
      <c r="A348" s="177"/>
      <c r="B348" s="177"/>
      <c r="C348" s="177"/>
      <c r="D348" s="177"/>
      <c r="E348" s="177"/>
      <c r="F348" s="177"/>
      <c r="G348" s="177"/>
      <c r="H348" s="177"/>
      <c r="I348" s="177"/>
      <c r="J348" s="177"/>
      <c r="K348" s="177"/>
      <c r="L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</row>
    <row r="349" spans="1:26" ht="15.75" customHeight="1">
      <c r="A349" s="177"/>
      <c r="B349" s="177"/>
      <c r="C349" s="177"/>
      <c r="D349" s="177"/>
      <c r="E349" s="177"/>
      <c r="F349" s="177"/>
      <c r="G349" s="177"/>
      <c r="H349" s="177"/>
      <c r="I349" s="177"/>
      <c r="J349" s="177"/>
      <c r="K349" s="177"/>
      <c r="L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</row>
    <row r="350" spans="1:26" ht="15.75" customHeight="1">
      <c r="A350" s="177"/>
      <c r="B350" s="177"/>
      <c r="C350" s="177"/>
      <c r="D350" s="177"/>
      <c r="E350" s="177"/>
      <c r="F350" s="177"/>
      <c r="G350" s="177"/>
      <c r="H350" s="177"/>
      <c r="I350" s="177"/>
      <c r="J350" s="177"/>
      <c r="K350" s="177"/>
      <c r="L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</row>
    <row r="351" spans="1:26" ht="15.75" customHeight="1">
      <c r="A351" s="177"/>
      <c r="B351" s="177"/>
      <c r="C351" s="177"/>
      <c r="D351" s="177"/>
      <c r="E351" s="177"/>
      <c r="F351" s="177"/>
      <c r="G351" s="177"/>
      <c r="H351" s="177"/>
      <c r="I351" s="177"/>
      <c r="J351" s="177"/>
      <c r="K351" s="177"/>
      <c r="L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</row>
    <row r="352" spans="1:26" ht="15.75" customHeight="1">
      <c r="A352" s="177"/>
      <c r="B352" s="177"/>
      <c r="C352" s="177"/>
      <c r="D352" s="177"/>
      <c r="E352" s="177"/>
      <c r="F352" s="177"/>
      <c r="G352" s="177"/>
      <c r="H352" s="177"/>
      <c r="I352" s="177"/>
      <c r="J352" s="177"/>
      <c r="K352" s="177"/>
      <c r="L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</row>
    <row r="353" spans="1:26" ht="15.75" customHeight="1">
      <c r="A353" s="177"/>
      <c r="B353" s="177"/>
      <c r="C353" s="177"/>
      <c r="D353" s="177"/>
      <c r="E353" s="177"/>
      <c r="F353" s="177"/>
      <c r="G353" s="177"/>
      <c r="H353" s="177"/>
      <c r="I353" s="177"/>
      <c r="J353" s="177"/>
      <c r="K353" s="177"/>
      <c r="L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</row>
    <row r="354" spans="1:26" ht="15.75" customHeight="1">
      <c r="A354" s="177"/>
      <c r="B354" s="177"/>
      <c r="C354" s="177"/>
      <c r="D354" s="177"/>
      <c r="E354" s="177"/>
      <c r="F354" s="177"/>
      <c r="G354" s="177"/>
      <c r="H354" s="177"/>
      <c r="I354" s="177"/>
      <c r="J354" s="177"/>
      <c r="K354" s="177"/>
      <c r="L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</row>
    <row r="355" spans="1:26" ht="15.75" customHeight="1">
      <c r="A355" s="177"/>
      <c r="B355" s="177"/>
      <c r="C355" s="177"/>
      <c r="D355" s="177"/>
      <c r="E355" s="177"/>
      <c r="F355" s="177"/>
      <c r="G355" s="177"/>
      <c r="H355" s="177"/>
      <c r="I355" s="177"/>
      <c r="J355" s="177"/>
      <c r="K355" s="177"/>
      <c r="L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</row>
    <row r="356" spans="1:26" ht="15.75" customHeight="1">
      <c r="A356" s="177"/>
      <c r="B356" s="177"/>
      <c r="C356" s="177"/>
      <c r="D356" s="177"/>
      <c r="E356" s="177"/>
      <c r="F356" s="177"/>
      <c r="G356" s="177"/>
      <c r="H356" s="177"/>
      <c r="I356" s="177"/>
      <c r="J356" s="177"/>
      <c r="K356" s="177"/>
      <c r="L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</row>
    <row r="357" spans="1:26" ht="15.75" customHeight="1">
      <c r="A357" s="177"/>
      <c r="B357" s="177"/>
      <c r="C357" s="177"/>
      <c r="D357" s="177"/>
      <c r="E357" s="177"/>
      <c r="F357" s="177"/>
      <c r="G357" s="177"/>
      <c r="H357" s="177"/>
      <c r="I357" s="177"/>
      <c r="J357" s="177"/>
      <c r="K357" s="177"/>
      <c r="L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</row>
    <row r="358" spans="1:26" ht="15.75" customHeight="1">
      <c r="A358" s="177"/>
      <c r="B358" s="177"/>
      <c r="C358" s="177"/>
      <c r="D358" s="177"/>
      <c r="E358" s="177"/>
      <c r="F358" s="177"/>
      <c r="G358" s="177"/>
      <c r="H358" s="177"/>
      <c r="I358" s="177"/>
      <c r="J358" s="177"/>
      <c r="K358" s="177"/>
      <c r="L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</row>
    <row r="359" spans="1:26" ht="15.75" customHeight="1">
      <c r="A359" s="177"/>
      <c r="B359" s="177"/>
      <c r="C359" s="177"/>
      <c r="D359" s="177"/>
      <c r="E359" s="177"/>
      <c r="F359" s="177"/>
      <c r="G359" s="177"/>
      <c r="H359" s="177"/>
      <c r="I359" s="177"/>
      <c r="J359" s="177"/>
      <c r="K359" s="177"/>
      <c r="L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</row>
    <row r="360" spans="1:26" ht="15.75" customHeight="1">
      <c r="A360" s="177"/>
      <c r="B360" s="177"/>
      <c r="C360" s="177"/>
      <c r="D360" s="177"/>
      <c r="E360" s="177"/>
      <c r="F360" s="177"/>
      <c r="G360" s="177"/>
      <c r="H360" s="177"/>
      <c r="I360" s="177"/>
      <c r="J360" s="177"/>
      <c r="K360" s="177"/>
      <c r="L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</row>
    <row r="361" spans="1:26" ht="15.75" customHeight="1">
      <c r="A361" s="177"/>
      <c r="B361" s="177"/>
      <c r="C361" s="177"/>
      <c r="D361" s="177"/>
      <c r="E361" s="177"/>
      <c r="F361" s="177"/>
      <c r="G361" s="177"/>
      <c r="H361" s="177"/>
      <c r="I361" s="177"/>
      <c r="J361" s="177"/>
      <c r="K361" s="177"/>
      <c r="L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</row>
    <row r="362" spans="1:26" ht="15.75" customHeight="1">
      <c r="A362" s="177"/>
      <c r="B362" s="177"/>
      <c r="C362" s="177"/>
      <c r="D362" s="177"/>
      <c r="E362" s="177"/>
      <c r="F362" s="177"/>
      <c r="G362" s="177"/>
      <c r="H362" s="177"/>
      <c r="I362" s="177"/>
      <c r="J362" s="177"/>
      <c r="K362" s="177"/>
      <c r="L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</row>
    <row r="363" spans="1:26" ht="15.75" customHeight="1">
      <c r="A363" s="177"/>
      <c r="B363" s="177"/>
      <c r="C363" s="177"/>
      <c r="D363" s="177"/>
      <c r="E363" s="177"/>
      <c r="F363" s="177"/>
      <c r="G363" s="177"/>
      <c r="H363" s="177"/>
      <c r="I363" s="177"/>
      <c r="J363" s="177"/>
      <c r="K363" s="177"/>
      <c r="L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</row>
    <row r="364" spans="1:26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J364" s="177"/>
      <c r="K364" s="177"/>
      <c r="L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</row>
    <row r="365" spans="1:26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J365" s="177"/>
      <c r="K365" s="177"/>
      <c r="L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</row>
    <row r="366" spans="1:26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J366" s="177"/>
      <c r="K366" s="177"/>
      <c r="L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</row>
    <row r="367" spans="1:26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J367" s="177"/>
      <c r="K367" s="177"/>
      <c r="L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</row>
    <row r="368" spans="1:26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J368" s="177"/>
      <c r="K368" s="177"/>
      <c r="L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</row>
    <row r="369" spans="1:26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J369" s="177"/>
      <c r="K369" s="177"/>
      <c r="L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</row>
    <row r="370" spans="1:26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J370" s="177"/>
      <c r="K370" s="177"/>
      <c r="L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</row>
    <row r="371" spans="1:26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J371" s="177"/>
      <c r="K371" s="177"/>
      <c r="L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</row>
    <row r="372" spans="1:26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J372" s="177"/>
      <c r="K372" s="177"/>
      <c r="L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</row>
    <row r="373" spans="1:26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J373" s="177"/>
      <c r="K373" s="177"/>
      <c r="L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</row>
    <row r="374" spans="1:26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J374" s="177"/>
      <c r="K374" s="177"/>
      <c r="L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</row>
    <row r="375" spans="1:26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J375" s="177"/>
      <c r="K375" s="177"/>
      <c r="L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</row>
    <row r="376" spans="1:26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J376" s="177"/>
      <c r="K376" s="177"/>
      <c r="L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</row>
    <row r="377" spans="1:26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J377" s="177"/>
      <c r="K377" s="177"/>
      <c r="L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</row>
    <row r="378" spans="1:26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J378" s="177"/>
      <c r="K378" s="177"/>
      <c r="L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</row>
    <row r="379" spans="1:26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J379" s="177"/>
      <c r="K379" s="177"/>
      <c r="L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</row>
    <row r="380" spans="1:26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J380" s="177"/>
      <c r="K380" s="177"/>
      <c r="L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</row>
    <row r="381" spans="1:26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J381" s="177"/>
      <c r="K381" s="177"/>
      <c r="L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</row>
    <row r="382" spans="1:26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J382" s="177"/>
      <c r="K382" s="177"/>
      <c r="L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</row>
    <row r="383" spans="1:26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J383" s="177"/>
      <c r="K383" s="177"/>
      <c r="L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</row>
    <row r="384" spans="1:26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J384" s="177"/>
      <c r="K384" s="177"/>
      <c r="L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</row>
    <row r="385" spans="1:26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J385" s="177"/>
      <c r="K385" s="177"/>
      <c r="L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</row>
    <row r="386" spans="1:26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J386" s="177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</row>
    <row r="387" spans="1:26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</row>
    <row r="388" spans="1:26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</row>
    <row r="389" spans="1:26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</row>
    <row r="390" spans="1:26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J390" s="177"/>
      <c r="K390" s="177"/>
      <c r="L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</row>
    <row r="391" spans="1:26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J391" s="177"/>
      <c r="K391" s="177"/>
      <c r="L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</row>
    <row r="392" spans="1:26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J392" s="177"/>
      <c r="K392" s="177"/>
      <c r="L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</row>
    <row r="393" spans="1:26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J393" s="177"/>
      <c r="K393" s="177"/>
      <c r="L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</row>
    <row r="394" spans="1:26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J394" s="177"/>
      <c r="K394" s="177"/>
      <c r="L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</row>
    <row r="395" spans="1:26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J395" s="177"/>
      <c r="K395" s="177"/>
      <c r="L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</row>
    <row r="396" spans="1:26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J396" s="177"/>
      <c r="K396" s="177"/>
      <c r="L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</row>
    <row r="397" spans="1:26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J397" s="177"/>
      <c r="K397" s="177"/>
      <c r="L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</row>
    <row r="398" spans="1:26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J398" s="177"/>
      <c r="K398" s="177"/>
      <c r="L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</row>
    <row r="399" spans="1:26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J399" s="177"/>
      <c r="K399" s="177"/>
      <c r="L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</row>
    <row r="400" spans="1:26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J400" s="177"/>
      <c r="K400" s="177"/>
      <c r="L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</row>
    <row r="401" spans="1:26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J401" s="177"/>
      <c r="K401" s="177"/>
      <c r="L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</row>
    <row r="402" spans="1:26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J402" s="177"/>
      <c r="K402" s="177"/>
      <c r="L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</row>
    <row r="403" spans="1:26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J403" s="177"/>
      <c r="K403" s="177"/>
      <c r="L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</row>
    <row r="404" spans="1:26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J404" s="177"/>
      <c r="K404" s="177"/>
      <c r="L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</row>
    <row r="405" spans="1:26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J405" s="177"/>
      <c r="K405" s="177"/>
      <c r="L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</row>
    <row r="406" spans="1:26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J406" s="177"/>
      <c r="K406" s="177"/>
      <c r="L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</row>
    <row r="407" spans="1:26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J407" s="177"/>
      <c r="K407" s="177"/>
      <c r="L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</row>
    <row r="408" spans="1:26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J408" s="177"/>
      <c r="K408" s="177"/>
      <c r="L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</row>
    <row r="409" spans="1:26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J409" s="177"/>
      <c r="K409" s="177"/>
      <c r="L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</row>
    <row r="410" spans="1:26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J410" s="177"/>
      <c r="K410" s="177"/>
      <c r="L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</row>
    <row r="411" spans="1:26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J411" s="177"/>
      <c r="K411" s="177"/>
      <c r="L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</row>
    <row r="412" spans="1:26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J412" s="177"/>
      <c r="K412" s="177"/>
      <c r="L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</row>
    <row r="413" spans="1:26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J413" s="177"/>
      <c r="K413" s="177"/>
      <c r="L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</row>
    <row r="414" spans="1:26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J414" s="177"/>
      <c r="K414" s="177"/>
      <c r="L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</row>
    <row r="415" spans="1:26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J415" s="177"/>
      <c r="K415" s="177"/>
      <c r="L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</row>
    <row r="416" spans="1:26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J416" s="177"/>
      <c r="K416" s="177"/>
      <c r="L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</row>
    <row r="417" spans="1:26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J417" s="177"/>
      <c r="K417" s="177"/>
      <c r="L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</row>
    <row r="418" spans="1:26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J418" s="177"/>
      <c r="K418" s="177"/>
      <c r="L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</row>
    <row r="419" spans="1:26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J419" s="177"/>
      <c r="K419" s="177"/>
      <c r="L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</row>
    <row r="420" spans="1:26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J420" s="177"/>
      <c r="K420" s="177"/>
      <c r="L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</row>
    <row r="421" spans="1:26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J421" s="177"/>
      <c r="K421" s="177"/>
      <c r="L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</row>
    <row r="422" spans="1:26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J422" s="177"/>
      <c r="K422" s="177"/>
      <c r="L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</row>
    <row r="423" spans="1:26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J423" s="177"/>
      <c r="K423" s="177"/>
      <c r="L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</row>
    <row r="424" spans="1:26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J424" s="177"/>
      <c r="K424" s="177"/>
      <c r="L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</row>
    <row r="425" spans="1:26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J425" s="177"/>
      <c r="K425" s="177"/>
      <c r="L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</row>
    <row r="426" spans="1:26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J426" s="177"/>
      <c r="K426" s="177"/>
      <c r="L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</row>
    <row r="427" spans="1:26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J427" s="177"/>
      <c r="K427" s="177"/>
      <c r="L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</row>
    <row r="428" spans="1:26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J428" s="177"/>
      <c r="K428" s="177"/>
      <c r="L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</row>
    <row r="429" spans="1:26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J429" s="177"/>
      <c r="K429" s="177"/>
      <c r="L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</row>
    <row r="430" spans="1:26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J430" s="177"/>
      <c r="K430" s="177"/>
      <c r="L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</row>
    <row r="431" spans="1:26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J431" s="177"/>
      <c r="K431" s="177"/>
      <c r="L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</row>
    <row r="432" spans="1:26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J432" s="177"/>
      <c r="K432" s="177"/>
      <c r="L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</row>
    <row r="433" spans="1:26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J433" s="177"/>
      <c r="K433" s="177"/>
      <c r="L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</row>
    <row r="434" spans="1:26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J434" s="177"/>
      <c r="K434" s="177"/>
      <c r="L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</row>
    <row r="435" spans="1:26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J435" s="177"/>
      <c r="K435" s="177"/>
      <c r="L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</row>
    <row r="436" spans="1:26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J436" s="177"/>
      <c r="K436" s="177"/>
      <c r="L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</row>
    <row r="437" spans="1:26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J437" s="177"/>
      <c r="K437" s="177"/>
      <c r="L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</row>
    <row r="438" spans="1:26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J438" s="177"/>
      <c r="K438" s="177"/>
      <c r="L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</row>
    <row r="439" spans="1:26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J439" s="177"/>
      <c r="K439" s="177"/>
      <c r="L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</row>
    <row r="440" spans="1:26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J440" s="177"/>
      <c r="K440" s="177"/>
      <c r="L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</row>
    <row r="441" spans="1:26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J441" s="177"/>
      <c r="K441" s="177"/>
      <c r="L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</row>
    <row r="442" spans="1:26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J442" s="177"/>
      <c r="K442" s="177"/>
      <c r="L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</row>
    <row r="443" spans="1:26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J443" s="177"/>
      <c r="K443" s="177"/>
      <c r="L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</row>
    <row r="444" spans="1:26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J444" s="177"/>
      <c r="K444" s="177"/>
      <c r="L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</row>
    <row r="445" spans="1:26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J445" s="177"/>
      <c r="K445" s="177"/>
      <c r="L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</row>
    <row r="446" spans="1:26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J446" s="177"/>
      <c r="K446" s="177"/>
      <c r="L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</row>
    <row r="447" spans="1:26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J447" s="177"/>
      <c r="K447" s="177"/>
      <c r="L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</row>
    <row r="448" spans="1:26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J448" s="177"/>
      <c r="K448" s="177"/>
      <c r="L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</row>
    <row r="449" spans="1:26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J449" s="177"/>
      <c r="K449" s="177"/>
      <c r="L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</row>
    <row r="450" spans="1:26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J450" s="177"/>
      <c r="K450" s="177"/>
      <c r="L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</row>
    <row r="451" spans="1:26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J451" s="177"/>
      <c r="K451" s="177"/>
      <c r="L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</row>
    <row r="452" spans="1:26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J452" s="177"/>
      <c r="K452" s="177"/>
      <c r="L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</row>
    <row r="453" spans="1:26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J453" s="177"/>
      <c r="K453" s="177"/>
      <c r="L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</row>
    <row r="454" spans="1:26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J454" s="177"/>
      <c r="K454" s="177"/>
      <c r="L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</row>
    <row r="455" spans="1:26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J455" s="177"/>
      <c r="K455" s="177"/>
      <c r="L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</row>
    <row r="456" spans="1:26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J456" s="177"/>
      <c r="K456" s="177"/>
      <c r="L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</row>
    <row r="457" spans="1:26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J457" s="177"/>
      <c r="K457" s="177"/>
      <c r="L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</row>
    <row r="458" spans="1:26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J458" s="177"/>
      <c r="K458" s="177"/>
      <c r="L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</row>
    <row r="459" spans="1:26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J459" s="177"/>
      <c r="K459" s="177"/>
      <c r="L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</row>
    <row r="460" spans="1:26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J460" s="177"/>
      <c r="K460" s="177"/>
      <c r="L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</row>
    <row r="461" spans="1:26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J461" s="177"/>
      <c r="K461" s="177"/>
      <c r="L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</row>
    <row r="462" spans="1:26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J462" s="177"/>
      <c r="K462" s="177"/>
      <c r="L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</row>
    <row r="463" spans="1:26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J463" s="177"/>
      <c r="K463" s="177"/>
      <c r="L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</row>
    <row r="464" spans="1:26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J464" s="177"/>
      <c r="K464" s="177"/>
      <c r="L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</row>
    <row r="465" spans="1:26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J465" s="177"/>
      <c r="K465" s="177"/>
      <c r="L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</row>
    <row r="466" spans="1:26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</row>
    <row r="467" spans="1:26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</row>
    <row r="468" spans="1:26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J468" s="177"/>
      <c r="K468" s="177"/>
      <c r="L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</row>
    <row r="469" spans="1:26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J469" s="177"/>
      <c r="K469" s="177"/>
      <c r="L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</row>
    <row r="470" spans="1:26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J470" s="177"/>
      <c r="K470" s="177"/>
      <c r="L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</row>
    <row r="471" spans="1:26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J471" s="177"/>
      <c r="K471" s="177"/>
      <c r="L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</row>
    <row r="472" spans="1:26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J472" s="177"/>
      <c r="K472" s="177"/>
      <c r="L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</row>
    <row r="473" spans="1:26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J473" s="177"/>
      <c r="K473" s="177"/>
      <c r="L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</row>
    <row r="474" spans="1:26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J474" s="177"/>
      <c r="K474" s="177"/>
      <c r="L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</row>
    <row r="475" spans="1:26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J475" s="177"/>
      <c r="K475" s="177"/>
      <c r="L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</row>
    <row r="476" spans="1:26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J476" s="177"/>
      <c r="K476" s="177"/>
      <c r="L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</row>
    <row r="477" spans="1:26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J477" s="177"/>
      <c r="K477" s="177"/>
      <c r="L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</row>
    <row r="478" spans="1:26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J478" s="177"/>
      <c r="K478" s="177"/>
      <c r="L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</row>
    <row r="479" spans="1:26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J479" s="177"/>
      <c r="K479" s="177"/>
      <c r="L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</row>
    <row r="480" spans="1:26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J480" s="177"/>
      <c r="K480" s="177"/>
      <c r="L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</row>
    <row r="481" spans="1:26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J481" s="177"/>
      <c r="K481" s="177"/>
      <c r="L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</row>
    <row r="482" spans="1:26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J482" s="177"/>
      <c r="K482" s="177"/>
      <c r="L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</row>
    <row r="483" spans="1:26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J483" s="177"/>
      <c r="K483" s="177"/>
      <c r="L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</row>
    <row r="484" spans="1:26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J484" s="177"/>
      <c r="K484" s="177"/>
      <c r="L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</row>
    <row r="485" spans="1:26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J485" s="177"/>
      <c r="K485" s="177"/>
      <c r="L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</row>
    <row r="486" spans="1:26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J486" s="177"/>
      <c r="K486" s="177"/>
      <c r="L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</row>
    <row r="487" spans="1:26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J487" s="177"/>
      <c r="K487" s="177"/>
      <c r="L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</row>
    <row r="488" spans="1:26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J488" s="177"/>
      <c r="K488" s="177"/>
      <c r="L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</row>
    <row r="489" spans="1:26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J489" s="177"/>
      <c r="K489" s="177"/>
      <c r="L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</row>
    <row r="490" spans="1:26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J490" s="177"/>
      <c r="K490" s="177"/>
      <c r="L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</row>
    <row r="491" spans="1:26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J491" s="177"/>
      <c r="K491" s="177"/>
      <c r="L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</row>
    <row r="492" spans="1:26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J492" s="177"/>
      <c r="K492" s="177"/>
      <c r="L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</row>
    <row r="493" spans="1:26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J493" s="177"/>
      <c r="K493" s="177"/>
      <c r="L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</row>
    <row r="494" spans="1:26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J494" s="177"/>
      <c r="K494" s="177"/>
      <c r="L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</row>
    <row r="495" spans="1:26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J495" s="177"/>
      <c r="K495" s="177"/>
      <c r="L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</row>
    <row r="496" spans="1:26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J496" s="177"/>
      <c r="K496" s="177"/>
      <c r="L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</row>
    <row r="497" spans="1:26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J497" s="177"/>
      <c r="K497" s="177"/>
      <c r="L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</row>
    <row r="498" spans="1:26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J498" s="177"/>
      <c r="K498" s="177"/>
      <c r="L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</row>
    <row r="499" spans="1:26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J499" s="177"/>
      <c r="K499" s="177"/>
      <c r="L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</row>
    <row r="500" spans="1:26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J500" s="177"/>
      <c r="K500" s="177"/>
      <c r="L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</row>
    <row r="501" spans="1:26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J501" s="177"/>
      <c r="K501" s="177"/>
      <c r="L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</row>
    <row r="502" spans="1:26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J502" s="177"/>
      <c r="K502" s="177"/>
      <c r="L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</row>
    <row r="503" spans="1:26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J503" s="177"/>
      <c r="K503" s="177"/>
      <c r="L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</row>
    <row r="504" spans="1:26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J504" s="177"/>
      <c r="K504" s="177"/>
      <c r="L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</row>
    <row r="505" spans="1:26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J505" s="177"/>
      <c r="K505" s="177"/>
      <c r="L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</row>
    <row r="506" spans="1:26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J506" s="177"/>
      <c r="K506" s="177"/>
      <c r="L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</row>
    <row r="507" spans="1:26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J507" s="177"/>
      <c r="K507" s="177"/>
      <c r="L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</row>
    <row r="508" spans="1:26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J508" s="177"/>
      <c r="K508" s="177"/>
      <c r="L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</row>
    <row r="509" spans="1:26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J509" s="177"/>
      <c r="K509" s="177"/>
      <c r="L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</row>
    <row r="510" spans="1:26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J510" s="177"/>
      <c r="K510" s="177"/>
      <c r="L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</row>
    <row r="511" spans="1:26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J511" s="177"/>
      <c r="K511" s="177"/>
      <c r="L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</row>
    <row r="512" spans="1:26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J512" s="177"/>
      <c r="K512" s="177"/>
      <c r="L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</row>
    <row r="513" spans="1:26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J513" s="177"/>
      <c r="K513" s="177"/>
      <c r="L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</row>
    <row r="514" spans="1:26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J514" s="177"/>
      <c r="K514" s="177"/>
      <c r="L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</row>
    <row r="515" spans="1:26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J515" s="177"/>
      <c r="K515" s="177"/>
      <c r="L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</row>
    <row r="516" spans="1:26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J516" s="177"/>
      <c r="K516" s="177"/>
      <c r="L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</row>
    <row r="517" spans="1:26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J517" s="177"/>
      <c r="K517" s="177"/>
      <c r="L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</row>
    <row r="518" spans="1:26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J518" s="177"/>
      <c r="K518" s="177"/>
      <c r="L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</row>
    <row r="519" spans="1:26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J519" s="177"/>
      <c r="K519" s="177"/>
      <c r="L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</row>
    <row r="520" spans="1:26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J520" s="177"/>
      <c r="K520" s="177"/>
      <c r="L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</row>
    <row r="521" spans="1:26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J521" s="177"/>
      <c r="K521" s="177"/>
      <c r="L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</row>
    <row r="522" spans="1:26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J522" s="177"/>
      <c r="K522" s="177"/>
      <c r="L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</row>
    <row r="523" spans="1:26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J523" s="177"/>
      <c r="K523" s="177"/>
      <c r="L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</row>
    <row r="524" spans="1:26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J524" s="177"/>
      <c r="K524" s="177"/>
      <c r="L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</row>
    <row r="525" spans="1:26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J525" s="177"/>
      <c r="K525" s="177"/>
      <c r="L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</row>
    <row r="526" spans="1:26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J526" s="177"/>
      <c r="K526" s="177"/>
      <c r="L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</row>
    <row r="527" spans="1:26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J527" s="177"/>
      <c r="K527" s="177"/>
      <c r="L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</row>
    <row r="528" spans="1:26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J528" s="177"/>
      <c r="K528" s="177"/>
      <c r="L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</row>
    <row r="529" spans="1:26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J529" s="177"/>
      <c r="K529" s="177"/>
      <c r="L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</row>
    <row r="530" spans="1:26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J530" s="177"/>
      <c r="K530" s="177"/>
      <c r="L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</row>
    <row r="531" spans="1:26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J531" s="177"/>
      <c r="K531" s="177"/>
      <c r="L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</row>
    <row r="532" spans="1:26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J532" s="177"/>
      <c r="K532" s="177"/>
      <c r="L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</row>
    <row r="533" spans="1:26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J533" s="177"/>
      <c r="K533" s="177"/>
      <c r="L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</row>
    <row r="534" spans="1:26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J534" s="177"/>
      <c r="K534" s="177"/>
      <c r="L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</row>
    <row r="535" spans="1:26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J535" s="177"/>
      <c r="K535" s="177"/>
      <c r="L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</row>
    <row r="536" spans="1:26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J536" s="177"/>
      <c r="K536" s="177"/>
      <c r="L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</row>
    <row r="537" spans="1:26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J537" s="177"/>
      <c r="K537" s="177"/>
      <c r="L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</row>
    <row r="538" spans="1:26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J538" s="177"/>
      <c r="K538" s="177"/>
      <c r="L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</row>
    <row r="539" spans="1:26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J539" s="177"/>
      <c r="K539" s="177"/>
      <c r="L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</row>
    <row r="540" spans="1:26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J540" s="177"/>
      <c r="K540" s="177"/>
      <c r="L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</row>
    <row r="541" spans="1:26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J541" s="177"/>
      <c r="K541" s="177"/>
      <c r="L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</row>
    <row r="542" spans="1:26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J542" s="177"/>
      <c r="K542" s="177"/>
      <c r="L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</row>
    <row r="543" spans="1:26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J543" s="177"/>
      <c r="K543" s="177"/>
      <c r="L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</row>
    <row r="544" spans="1:26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J544" s="177"/>
      <c r="K544" s="177"/>
      <c r="L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</row>
    <row r="545" spans="1:26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J545" s="177"/>
      <c r="K545" s="177"/>
      <c r="L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</row>
    <row r="546" spans="1:26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J546" s="177"/>
      <c r="K546" s="177"/>
      <c r="L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</row>
    <row r="547" spans="1:26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J547" s="177"/>
      <c r="K547" s="177"/>
      <c r="L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</row>
    <row r="548" spans="1:26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J548" s="177"/>
      <c r="K548" s="177"/>
      <c r="L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</row>
    <row r="549" spans="1:26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J549" s="177"/>
      <c r="K549" s="177"/>
      <c r="L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</row>
    <row r="550" spans="1:26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J550" s="177"/>
      <c r="K550" s="177"/>
      <c r="L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</row>
    <row r="551" spans="1:26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J551" s="177"/>
      <c r="K551" s="177"/>
      <c r="L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</row>
    <row r="552" spans="1:26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J552" s="177"/>
      <c r="K552" s="177"/>
      <c r="L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</row>
    <row r="553" spans="1:26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J553" s="177"/>
      <c r="K553" s="177"/>
      <c r="L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</row>
    <row r="554" spans="1:26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J554" s="177"/>
      <c r="K554" s="177"/>
      <c r="L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</row>
    <row r="555" spans="1:26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J555" s="177"/>
      <c r="K555" s="177"/>
      <c r="L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</row>
    <row r="556" spans="1:26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J556" s="177"/>
      <c r="K556" s="177"/>
      <c r="L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</row>
    <row r="557" spans="1:26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J557" s="177"/>
      <c r="K557" s="177"/>
      <c r="L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</row>
    <row r="558" spans="1:26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J558" s="177"/>
      <c r="K558" s="177"/>
      <c r="L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</row>
    <row r="559" spans="1:26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J559" s="177"/>
      <c r="K559" s="177"/>
      <c r="L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</row>
    <row r="560" spans="1:26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J560" s="177"/>
      <c r="K560" s="177"/>
      <c r="L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</row>
    <row r="561" spans="1:26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J561" s="177"/>
      <c r="K561" s="177"/>
      <c r="L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</row>
    <row r="562" spans="1:26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J562" s="177"/>
      <c r="K562" s="177"/>
      <c r="L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</row>
    <row r="563" spans="1:26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J563" s="177"/>
      <c r="K563" s="177"/>
      <c r="L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</row>
    <row r="564" spans="1:26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J564" s="177"/>
      <c r="K564" s="177"/>
      <c r="L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</row>
    <row r="565" spans="1:26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J565" s="177"/>
      <c r="K565" s="177"/>
      <c r="L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</row>
    <row r="566" spans="1:26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J566" s="177"/>
      <c r="K566" s="177"/>
      <c r="L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</row>
    <row r="567" spans="1:26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J567" s="177"/>
      <c r="K567" s="177"/>
      <c r="L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</row>
    <row r="568" spans="1:26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J568" s="177"/>
      <c r="K568" s="177"/>
      <c r="L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</row>
    <row r="569" spans="1:26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J569" s="177"/>
      <c r="K569" s="177"/>
      <c r="L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</row>
    <row r="570" spans="1:26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J570" s="177"/>
      <c r="K570" s="177"/>
      <c r="L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</row>
    <row r="571" spans="1:26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J571" s="177"/>
      <c r="K571" s="177"/>
      <c r="L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</row>
    <row r="572" spans="1:26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J572" s="177"/>
      <c r="K572" s="177"/>
      <c r="L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</row>
    <row r="573" spans="1:26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J573" s="177"/>
      <c r="K573" s="177"/>
      <c r="L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</row>
    <row r="574" spans="1:26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J574" s="177"/>
      <c r="K574" s="177"/>
      <c r="L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</row>
    <row r="575" spans="1:26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J575" s="177"/>
      <c r="K575" s="177"/>
      <c r="L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</row>
    <row r="576" spans="1:26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J576" s="177"/>
      <c r="K576" s="177"/>
      <c r="L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</row>
    <row r="577" spans="1:26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J577" s="177"/>
      <c r="K577" s="177"/>
      <c r="L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</row>
    <row r="578" spans="1:26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J578" s="177"/>
      <c r="K578" s="177"/>
      <c r="L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</row>
    <row r="579" spans="1:26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J579" s="177"/>
      <c r="K579" s="177"/>
      <c r="L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</row>
    <row r="580" spans="1:26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J580" s="177"/>
      <c r="K580" s="177"/>
      <c r="L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</row>
    <row r="581" spans="1:26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J581" s="177"/>
      <c r="K581" s="177"/>
      <c r="L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</row>
    <row r="582" spans="1:26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J582" s="177"/>
      <c r="K582" s="177"/>
      <c r="L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</row>
    <row r="583" spans="1:26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J583" s="177"/>
      <c r="K583" s="177"/>
      <c r="L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</row>
    <row r="584" spans="1:26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J584" s="177"/>
      <c r="K584" s="177"/>
      <c r="L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</row>
    <row r="585" spans="1:26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J585" s="177"/>
      <c r="K585" s="177"/>
      <c r="L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</row>
    <row r="586" spans="1:26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J586" s="177"/>
      <c r="K586" s="177"/>
      <c r="L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</row>
    <row r="587" spans="1:26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J587" s="177"/>
      <c r="K587" s="177"/>
      <c r="L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</row>
    <row r="588" spans="1:26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J588" s="177"/>
      <c r="K588" s="177"/>
      <c r="L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</row>
    <row r="589" spans="1:26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J589" s="177"/>
      <c r="K589" s="177"/>
      <c r="L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</row>
    <row r="590" spans="1:26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J590" s="177"/>
      <c r="K590" s="177"/>
      <c r="L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</row>
    <row r="591" spans="1:26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J591" s="177"/>
      <c r="K591" s="177"/>
      <c r="L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</row>
    <row r="592" spans="1:26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J592" s="177"/>
      <c r="K592" s="177"/>
      <c r="L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</row>
    <row r="593" spans="1:26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J593" s="177"/>
      <c r="K593" s="177"/>
      <c r="L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</row>
    <row r="594" spans="1:26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J594" s="177"/>
      <c r="K594" s="177"/>
      <c r="L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</row>
    <row r="595" spans="1:26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J595" s="177"/>
      <c r="K595" s="177"/>
      <c r="L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</row>
    <row r="596" spans="1:26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J596" s="177"/>
      <c r="K596" s="177"/>
      <c r="L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</row>
    <row r="597" spans="1:26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J597" s="177"/>
      <c r="K597" s="177"/>
      <c r="L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</row>
    <row r="598" spans="1:26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J598" s="177"/>
      <c r="K598" s="177"/>
      <c r="L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</row>
    <row r="599" spans="1:26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J599" s="177"/>
      <c r="K599" s="177"/>
      <c r="L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</row>
    <row r="600" spans="1:26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J600" s="177"/>
      <c r="K600" s="177"/>
      <c r="L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</row>
    <row r="601" spans="1:26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J601" s="177"/>
      <c r="K601" s="177"/>
      <c r="L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</row>
    <row r="602" spans="1:26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J602" s="177"/>
      <c r="K602" s="177"/>
      <c r="L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</row>
    <row r="603" spans="1:26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J603" s="177"/>
      <c r="K603" s="177"/>
      <c r="L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</row>
    <row r="604" spans="1:26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J604" s="177"/>
      <c r="K604" s="177"/>
      <c r="L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</row>
    <row r="605" spans="1:26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J605" s="177"/>
      <c r="K605" s="177"/>
      <c r="L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</row>
    <row r="606" spans="1:26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J606" s="177"/>
      <c r="K606" s="177"/>
      <c r="L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</row>
    <row r="607" spans="1:26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J607" s="177"/>
      <c r="K607" s="177"/>
      <c r="L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</row>
    <row r="608" spans="1:26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J608" s="177"/>
      <c r="K608" s="177"/>
      <c r="L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</row>
    <row r="609" spans="1:26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J609" s="177"/>
      <c r="K609" s="177"/>
      <c r="L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</row>
    <row r="610" spans="1:26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J610" s="177"/>
      <c r="K610" s="177"/>
      <c r="L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</row>
    <row r="611" spans="1:26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J611" s="177"/>
      <c r="K611" s="177"/>
      <c r="L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</row>
    <row r="612" spans="1:26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J612" s="177"/>
      <c r="K612" s="177"/>
      <c r="L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</row>
    <row r="613" spans="1:26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J613" s="177"/>
      <c r="K613" s="177"/>
      <c r="L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</row>
    <row r="614" spans="1:26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J614" s="177"/>
      <c r="K614" s="177"/>
      <c r="L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</row>
    <row r="615" spans="1:26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J615" s="177"/>
      <c r="K615" s="177"/>
      <c r="L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</row>
    <row r="616" spans="1:26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J616" s="177"/>
      <c r="K616" s="177"/>
      <c r="L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</row>
    <row r="617" spans="1:26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J617" s="177"/>
      <c r="K617" s="177"/>
      <c r="L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</row>
    <row r="618" spans="1:26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J618" s="177"/>
      <c r="K618" s="177"/>
      <c r="L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</row>
    <row r="619" spans="1:26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J619" s="177"/>
      <c r="K619" s="177"/>
      <c r="L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</row>
    <row r="620" spans="1:26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J620" s="177"/>
      <c r="K620" s="177"/>
      <c r="L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</row>
    <row r="621" spans="1:26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J621" s="177"/>
      <c r="K621" s="177"/>
      <c r="L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</row>
    <row r="622" spans="1:26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J622" s="177"/>
      <c r="K622" s="177"/>
      <c r="L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</row>
    <row r="623" spans="1:26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J623" s="177"/>
      <c r="K623" s="177"/>
      <c r="L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</row>
    <row r="624" spans="1:26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J624" s="177"/>
      <c r="K624" s="177"/>
      <c r="L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</row>
    <row r="625" spans="1:26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J625" s="177"/>
      <c r="K625" s="177"/>
      <c r="L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</row>
    <row r="626" spans="1:26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J626" s="177"/>
      <c r="K626" s="177"/>
      <c r="L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</row>
    <row r="627" spans="1:26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J627" s="177"/>
      <c r="K627" s="177"/>
      <c r="L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</row>
    <row r="628" spans="1:26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J628" s="177"/>
      <c r="K628" s="177"/>
      <c r="L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</row>
    <row r="629" spans="1:26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J629" s="177"/>
      <c r="K629" s="177"/>
      <c r="L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</row>
    <row r="630" spans="1:26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J630" s="177"/>
      <c r="K630" s="177"/>
      <c r="L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</row>
    <row r="631" spans="1:26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J631" s="177"/>
      <c r="K631" s="177"/>
      <c r="L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</row>
    <row r="632" spans="1:26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J632" s="177"/>
      <c r="K632" s="177"/>
      <c r="L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</row>
    <row r="633" spans="1:26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J633" s="177"/>
      <c r="K633" s="177"/>
      <c r="L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</row>
    <row r="634" spans="1:26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J634" s="177"/>
      <c r="K634" s="177"/>
      <c r="L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</row>
    <row r="635" spans="1:26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J635" s="177"/>
      <c r="K635" s="177"/>
      <c r="L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</row>
    <row r="636" spans="1:26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J636" s="177"/>
      <c r="K636" s="177"/>
      <c r="L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</row>
    <row r="637" spans="1:26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J637" s="177"/>
      <c r="K637" s="177"/>
      <c r="L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</row>
    <row r="638" spans="1:26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J638" s="177"/>
      <c r="K638" s="177"/>
      <c r="L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</row>
    <row r="639" spans="1:26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J639" s="177"/>
      <c r="K639" s="177"/>
      <c r="L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</row>
    <row r="640" spans="1:26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J640" s="177"/>
      <c r="K640" s="177"/>
      <c r="L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</row>
    <row r="641" spans="1:26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J641" s="177"/>
      <c r="K641" s="177"/>
      <c r="L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</row>
    <row r="642" spans="1:26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J642" s="177"/>
      <c r="K642" s="177"/>
      <c r="L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</row>
    <row r="643" spans="1:26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J643" s="177"/>
      <c r="K643" s="177"/>
      <c r="L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</row>
    <row r="644" spans="1:26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J644" s="177"/>
      <c r="K644" s="177"/>
      <c r="L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</row>
    <row r="645" spans="1:26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J645" s="177"/>
      <c r="K645" s="177"/>
      <c r="L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</row>
    <row r="646" spans="1:26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J646" s="177"/>
      <c r="K646" s="177"/>
      <c r="L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</row>
    <row r="647" spans="1:26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J647" s="177"/>
      <c r="K647" s="177"/>
      <c r="L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</row>
    <row r="648" spans="1:26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J648" s="177"/>
      <c r="K648" s="177"/>
      <c r="L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</row>
    <row r="649" spans="1:26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J649" s="177"/>
      <c r="K649" s="177"/>
      <c r="L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</row>
    <row r="650" spans="1:26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J650" s="177"/>
      <c r="K650" s="177"/>
      <c r="L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</row>
    <row r="651" spans="1:26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J651" s="177"/>
      <c r="K651" s="177"/>
      <c r="L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</row>
    <row r="652" spans="1:26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J652" s="177"/>
      <c r="K652" s="177"/>
      <c r="L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</row>
    <row r="653" spans="1:26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J653" s="177"/>
      <c r="K653" s="177"/>
      <c r="L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</row>
    <row r="654" spans="1:26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J654" s="177"/>
      <c r="K654" s="177"/>
      <c r="L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</row>
    <row r="655" spans="1:26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J655" s="177"/>
      <c r="K655" s="177"/>
      <c r="L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</row>
    <row r="656" spans="1:26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J656" s="177"/>
      <c r="K656" s="177"/>
      <c r="L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</row>
    <row r="657" spans="1:26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J657" s="177"/>
      <c r="K657" s="177"/>
      <c r="L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</row>
    <row r="658" spans="1:26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J658" s="177"/>
      <c r="K658" s="177"/>
      <c r="L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</row>
    <row r="659" spans="1:26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J659" s="177"/>
      <c r="K659" s="177"/>
      <c r="L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</row>
    <row r="660" spans="1:26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J660" s="177"/>
      <c r="K660" s="177"/>
      <c r="L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</row>
    <row r="661" spans="1:26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J661" s="177"/>
      <c r="K661" s="177"/>
      <c r="L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</row>
    <row r="662" spans="1:26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J662" s="177"/>
      <c r="K662" s="177"/>
      <c r="L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</row>
    <row r="663" spans="1:26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J663" s="177"/>
      <c r="K663" s="177"/>
      <c r="L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</row>
    <row r="664" spans="1:26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J664" s="177"/>
      <c r="K664" s="177"/>
      <c r="L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</row>
    <row r="665" spans="1:26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J665" s="177"/>
      <c r="K665" s="177"/>
      <c r="L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</row>
    <row r="666" spans="1:26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J666" s="177"/>
      <c r="K666" s="177"/>
      <c r="L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</row>
    <row r="667" spans="1:26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J667" s="177"/>
      <c r="K667" s="177"/>
      <c r="L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</row>
    <row r="668" spans="1:26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J668" s="177"/>
      <c r="K668" s="177"/>
      <c r="L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</row>
    <row r="669" spans="1:26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J669" s="177"/>
      <c r="K669" s="177"/>
      <c r="L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</row>
    <row r="670" spans="1:26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J670" s="177"/>
      <c r="K670" s="177"/>
      <c r="L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</row>
    <row r="671" spans="1:26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J671" s="177"/>
      <c r="K671" s="177"/>
      <c r="L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</row>
    <row r="672" spans="1:26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J672" s="177"/>
      <c r="K672" s="177"/>
      <c r="L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</row>
    <row r="673" spans="1:26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J673" s="177"/>
      <c r="K673" s="177"/>
      <c r="L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</row>
    <row r="674" spans="1:26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J674" s="177"/>
      <c r="K674" s="177"/>
      <c r="L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</row>
    <row r="675" spans="1:26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J675" s="177"/>
      <c r="K675" s="177"/>
      <c r="L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</row>
    <row r="676" spans="1:26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J676" s="177"/>
      <c r="K676" s="177"/>
      <c r="L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</row>
    <row r="677" spans="1:26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J677" s="177"/>
      <c r="K677" s="177"/>
      <c r="L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</row>
    <row r="678" spans="1:26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J678" s="177"/>
      <c r="K678" s="177"/>
      <c r="L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</row>
    <row r="679" spans="1:26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J679" s="177"/>
      <c r="K679" s="177"/>
      <c r="L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</row>
    <row r="680" spans="1:26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J680" s="177"/>
      <c r="K680" s="177"/>
      <c r="L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</row>
    <row r="681" spans="1:26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J681" s="177"/>
      <c r="K681" s="177"/>
      <c r="L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</row>
    <row r="682" spans="1:26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J682" s="177"/>
      <c r="K682" s="177"/>
      <c r="L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</row>
    <row r="683" spans="1:26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J683" s="177"/>
      <c r="K683" s="177"/>
      <c r="L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</row>
    <row r="684" spans="1:26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J684" s="177"/>
      <c r="K684" s="177"/>
      <c r="L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</row>
    <row r="685" spans="1:26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J685" s="177"/>
      <c r="K685" s="177"/>
      <c r="L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</row>
    <row r="686" spans="1:26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J686" s="177"/>
      <c r="K686" s="177"/>
      <c r="L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</row>
    <row r="687" spans="1:26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J687" s="177"/>
      <c r="K687" s="177"/>
      <c r="L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</row>
    <row r="688" spans="1:26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J688" s="177"/>
      <c r="K688" s="177"/>
      <c r="L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</row>
    <row r="689" spans="1:26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J689" s="177"/>
      <c r="K689" s="177"/>
      <c r="L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</row>
    <row r="690" spans="1:26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J690" s="177"/>
      <c r="K690" s="177"/>
      <c r="L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</row>
    <row r="691" spans="1:26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J691" s="177"/>
      <c r="K691" s="177"/>
      <c r="L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</row>
    <row r="692" spans="1:26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J692" s="177"/>
      <c r="K692" s="177"/>
      <c r="L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</row>
    <row r="693" spans="1:26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J693" s="177"/>
      <c r="K693" s="177"/>
      <c r="L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</row>
    <row r="694" spans="1:26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J694" s="177"/>
      <c r="K694" s="177"/>
      <c r="L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</row>
    <row r="695" spans="1:26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J695" s="177"/>
      <c r="K695" s="177"/>
      <c r="L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</row>
    <row r="696" spans="1:26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J696" s="177"/>
      <c r="K696" s="177"/>
      <c r="L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</row>
    <row r="697" spans="1:26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J697" s="177"/>
      <c r="K697" s="177"/>
      <c r="L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</row>
    <row r="698" spans="1:26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J698" s="177"/>
      <c r="K698" s="177"/>
      <c r="L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</row>
    <row r="699" spans="1:26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J699" s="177"/>
      <c r="K699" s="177"/>
      <c r="L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</row>
    <row r="700" spans="1:26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J700" s="177"/>
      <c r="K700" s="177"/>
      <c r="L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</row>
    <row r="701" spans="1:26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J701" s="177"/>
      <c r="K701" s="177"/>
      <c r="L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</row>
    <row r="702" spans="1:26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J702" s="177"/>
      <c r="K702" s="177"/>
      <c r="L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</row>
    <row r="703" spans="1:26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J703" s="177"/>
      <c r="K703" s="177"/>
      <c r="L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</row>
    <row r="704" spans="1:26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J704" s="177"/>
      <c r="K704" s="177"/>
      <c r="L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</row>
    <row r="705" spans="1:26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J705" s="177"/>
      <c r="K705" s="177"/>
      <c r="L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</row>
    <row r="706" spans="1:26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J706" s="177"/>
      <c r="K706" s="177"/>
      <c r="L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</row>
    <row r="707" spans="1:26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J707" s="177"/>
      <c r="K707" s="177"/>
      <c r="L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</row>
    <row r="708" spans="1:26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J708" s="177"/>
      <c r="K708" s="177"/>
      <c r="L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</row>
    <row r="709" spans="1:26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J709" s="177"/>
      <c r="K709" s="177"/>
      <c r="L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</row>
    <row r="710" spans="1:26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J710" s="177"/>
      <c r="K710" s="177"/>
      <c r="L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</row>
    <row r="711" spans="1:26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J711" s="177"/>
      <c r="K711" s="177"/>
      <c r="L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</row>
    <row r="712" spans="1:26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J712" s="177"/>
      <c r="K712" s="177"/>
      <c r="L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</row>
    <row r="713" spans="1:26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J713" s="177"/>
      <c r="K713" s="177"/>
      <c r="L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</row>
    <row r="714" spans="1:26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J714" s="177"/>
      <c r="K714" s="177"/>
      <c r="L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</row>
    <row r="715" spans="1:26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J715" s="177"/>
      <c r="K715" s="177"/>
      <c r="L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</row>
    <row r="716" spans="1:26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J716" s="177"/>
      <c r="K716" s="177"/>
      <c r="L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</row>
    <row r="717" spans="1:26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J717" s="177"/>
      <c r="K717" s="177"/>
      <c r="L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</row>
    <row r="718" spans="1:26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J718" s="177"/>
      <c r="K718" s="177"/>
      <c r="L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</row>
    <row r="719" spans="1:26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J719" s="177"/>
      <c r="K719" s="177"/>
      <c r="L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</row>
    <row r="720" spans="1:26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J720" s="177"/>
      <c r="K720" s="177"/>
      <c r="L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</row>
    <row r="721" spans="1:26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J721" s="177"/>
      <c r="K721" s="177"/>
      <c r="L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</row>
    <row r="722" spans="1:26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J722" s="177"/>
      <c r="K722" s="177"/>
      <c r="L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</row>
    <row r="723" spans="1:26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J723" s="177"/>
      <c r="K723" s="177"/>
      <c r="L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</row>
    <row r="724" spans="1:26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J724" s="177"/>
      <c r="K724" s="177"/>
      <c r="L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</row>
    <row r="725" spans="1:26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J725" s="177"/>
      <c r="K725" s="177"/>
      <c r="L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</row>
    <row r="726" spans="1:26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J726" s="177"/>
      <c r="K726" s="177"/>
      <c r="L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</row>
    <row r="727" spans="1:26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J727" s="177"/>
      <c r="K727" s="177"/>
      <c r="L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</row>
    <row r="728" spans="1:26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J728" s="177"/>
      <c r="K728" s="177"/>
      <c r="L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</row>
    <row r="729" spans="1:26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J729" s="177"/>
      <c r="K729" s="177"/>
      <c r="L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</row>
    <row r="730" spans="1:26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J730" s="177"/>
      <c r="K730" s="177"/>
      <c r="L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</row>
    <row r="731" spans="1:26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J731" s="177"/>
      <c r="K731" s="177"/>
      <c r="L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</row>
    <row r="732" spans="1:26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J732" s="177"/>
      <c r="K732" s="177"/>
      <c r="L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</row>
    <row r="733" spans="1:26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J733" s="177"/>
      <c r="K733" s="177"/>
      <c r="L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</row>
    <row r="734" spans="1:26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J734" s="177"/>
      <c r="K734" s="177"/>
      <c r="L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</row>
    <row r="735" spans="1:26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J735" s="177"/>
      <c r="K735" s="177"/>
      <c r="L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</row>
    <row r="736" spans="1:26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J736" s="177"/>
      <c r="K736" s="177"/>
      <c r="L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</row>
    <row r="737" spans="1:26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J737" s="177"/>
      <c r="K737" s="177"/>
      <c r="L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</row>
    <row r="738" spans="1:26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J738" s="177"/>
      <c r="K738" s="177"/>
      <c r="L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</row>
    <row r="739" spans="1:26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J739" s="177"/>
      <c r="K739" s="177"/>
      <c r="L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</row>
    <row r="740" spans="1:26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J740" s="177"/>
      <c r="K740" s="177"/>
      <c r="L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</row>
    <row r="741" spans="1:26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J741" s="177"/>
      <c r="K741" s="177"/>
      <c r="L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</row>
    <row r="742" spans="1:26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J742" s="177"/>
      <c r="K742" s="177"/>
      <c r="L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</row>
    <row r="743" spans="1:26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J743" s="177"/>
      <c r="K743" s="177"/>
      <c r="L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</row>
    <row r="744" spans="1:26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J744" s="177"/>
      <c r="K744" s="177"/>
      <c r="L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</row>
    <row r="745" spans="1:26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J745" s="177"/>
      <c r="K745" s="177"/>
      <c r="L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</row>
    <row r="746" spans="1:26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J746" s="177"/>
      <c r="K746" s="177"/>
      <c r="L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</row>
    <row r="747" spans="1:26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J747" s="177"/>
      <c r="K747" s="177"/>
      <c r="L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</row>
    <row r="748" spans="1:26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J748" s="177"/>
      <c r="K748" s="177"/>
      <c r="L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</row>
    <row r="749" spans="1:26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J749" s="177"/>
      <c r="K749" s="177"/>
      <c r="L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</row>
    <row r="750" spans="1:26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J750" s="177"/>
      <c r="K750" s="177"/>
      <c r="L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</row>
    <row r="751" spans="1:26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J751" s="177"/>
      <c r="K751" s="177"/>
      <c r="L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</row>
    <row r="752" spans="1:26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J752" s="177"/>
      <c r="K752" s="177"/>
      <c r="L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</row>
    <row r="753" spans="1:26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J753" s="177"/>
      <c r="K753" s="177"/>
      <c r="L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</row>
    <row r="754" spans="1:26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J754" s="177"/>
      <c r="K754" s="177"/>
      <c r="L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</row>
    <row r="755" spans="1:26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J755" s="177"/>
      <c r="K755" s="177"/>
      <c r="L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</row>
    <row r="756" spans="1:26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J756" s="177"/>
      <c r="K756" s="177"/>
      <c r="L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</row>
    <row r="757" spans="1:26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J757" s="177"/>
      <c r="K757" s="177"/>
      <c r="L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</row>
    <row r="758" spans="1:26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J758" s="177"/>
      <c r="K758" s="177"/>
      <c r="L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</row>
    <row r="759" spans="1:26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J759" s="177"/>
      <c r="K759" s="177"/>
      <c r="L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</row>
    <row r="760" spans="1:26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J760" s="177"/>
      <c r="K760" s="177"/>
      <c r="L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</row>
    <row r="761" spans="1:26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J761" s="177"/>
      <c r="K761" s="177"/>
      <c r="L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</row>
    <row r="762" spans="1:26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J762" s="177"/>
      <c r="K762" s="177"/>
      <c r="L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</row>
    <row r="763" spans="1:26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J763" s="177"/>
      <c r="K763" s="177"/>
      <c r="L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</row>
    <row r="764" spans="1:26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J764" s="177"/>
      <c r="K764" s="177"/>
      <c r="L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</row>
    <row r="765" spans="1:26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J765" s="177"/>
      <c r="K765" s="177"/>
      <c r="L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</row>
    <row r="766" spans="1:26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J766" s="177"/>
      <c r="K766" s="177"/>
      <c r="L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</row>
    <row r="767" spans="1:26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J767" s="177"/>
      <c r="K767" s="177"/>
      <c r="L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</row>
    <row r="768" spans="1:26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J768" s="177"/>
      <c r="K768" s="177"/>
      <c r="L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</row>
    <row r="769" spans="1:26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J769" s="177"/>
      <c r="K769" s="177"/>
      <c r="L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</row>
    <row r="770" spans="1:26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J770" s="177"/>
      <c r="K770" s="177"/>
      <c r="L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</row>
    <row r="771" spans="1:26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J771" s="177"/>
      <c r="K771" s="177"/>
      <c r="L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</row>
    <row r="772" spans="1:26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J772" s="177"/>
      <c r="K772" s="177"/>
      <c r="L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</row>
    <row r="773" spans="1:26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J773" s="177"/>
      <c r="K773" s="177"/>
      <c r="L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</row>
    <row r="774" spans="1:26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J774" s="177"/>
      <c r="K774" s="177"/>
      <c r="L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</row>
    <row r="775" spans="1:26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J775" s="177"/>
      <c r="K775" s="177"/>
      <c r="L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</row>
    <row r="776" spans="1:26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J776" s="177"/>
      <c r="K776" s="177"/>
      <c r="L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</row>
    <row r="777" spans="1:26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J777" s="177"/>
      <c r="K777" s="177"/>
      <c r="L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</row>
    <row r="778" spans="1:26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J778" s="177"/>
      <c r="K778" s="177"/>
      <c r="L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</row>
    <row r="779" spans="1:26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J779" s="177"/>
      <c r="K779" s="177"/>
      <c r="L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</row>
    <row r="780" spans="1:26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J780" s="177"/>
      <c r="K780" s="177"/>
      <c r="L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</row>
    <row r="781" spans="1:26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J781" s="177"/>
      <c r="K781" s="177"/>
      <c r="L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</row>
    <row r="782" spans="1:26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J782" s="177"/>
      <c r="K782" s="177"/>
      <c r="L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</row>
    <row r="783" spans="1:26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J783" s="177"/>
      <c r="K783" s="177"/>
      <c r="L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</row>
    <row r="784" spans="1:26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J784" s="177"/>
      <c r="K784" s="177"/>
      <c r="L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</row>
    <row r="785" spans="1:26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J785" s="177"/>
      <c r="K785" s="177"/>
      <c r="L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</row>
    <row r="786" spans="1:26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J786" s="177"/>
      <c r="K786" s="177"/>
      <c r="L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</row>
    <row r="787" spans="1:26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J787" s="177"/>
      <c r="K787" s="177"/>
      <c r="L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</row>
    <row r="788" spans="1:26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J788" s="177"/>
      <c r="K788" s="177"/>
      <c r="L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</row>
    <row r="789" spans="1:26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J789" s="177"/>
      <c r="K789" s="177"/>
      <c r="L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</row>
    <row r="790" spans="1:26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J790" s="177"/>
      <c r="K790" s="177"/>
      <c r="L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</row>
    <row r="791" spans="1:26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J791" s="177"/>
      <c r="K791" s="177"/>
      <c r="L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</row>
    <row r="792" spans="1:26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J792" s="177"/>
      <c r="K792" s="177"/>
      <c r="L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</row>
    <row r="793" spans="1:26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J793" s="177"/>
      <c r="K793" s="177"/>
      <c r="L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</row>
    <row r="794" spans="1:26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J794" s="177"/>
      <c r="K794" s="177"/>
      <c r="L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</row>
    <row r="795" spans="1:26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J795" s="177"/>
      <c r="K795" s="177"/>
      <c r="L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</row>
    <row r="796" spans="1:26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J796" s="177"/>
      <c r="K796" s="177"/>
      <c r="L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</row>
    <row r="797" spans="1:26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J797" s="177"/>
      <c r="K797" s="177"/>
      <c r="L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</row>
    <row r="798" spans="1:26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J798" s="177"/>
      <c r="K798" s="177"/>
      <c r="L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</row>
    <row r="799" spans="1:26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J799" s="177"/>
      <c r="K799" s="177"/>
      <c r="L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</row>
    <row r="800" spans="1:26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J800" s="177"/>
      <c r="K800" s="177"/>
      <c r="L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</row>
    <row r="801" spans="1:26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J801" s="177"/>
      <c r="K801" s="177"/>
      <c r="L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</row>
    <row r="802" spans="1:26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J802" s="177"/>
      <c r="K802" s="177"/>
      <c r="L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</row>
    <row r="803" spans="1:26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J803" s="177"/>
      <c r="K803" s="177"/>
      <c r="L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</row>
    <row r="804" spans="1:26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J804" s="177"/>
      <c r="K804" s="177"/>
      <c r="L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</row>
    <row r="805" spans="1:26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J805" s="177"/>
      <c r="K805" s="177"/>
      <c r="L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</row>
    <row r="806" spans="1:26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J806" s="177"/>
      <c r="K806" s="177"/>
      <c r="L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</row>
    <row r="807" spans="1:26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J807" s="177"/>
      <c r="K807" s="177"/>
      <c r="L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</row>
    <row r="808" spans="1:26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J808" s="177"/>
      <c r="K808" s="177"/>
      <c r="L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</row>
    <row r="809" spans="1:26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J809" s="177"/>
      <c r="K809" s="177"/>
      <c r="L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</row>
    <row r="810" spans="1:26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J810" s="177"/>
      <c r="K810" s="177"/>
      <c r="L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</row>
    <row r="811" spans="1:26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J811" s="177"/>
      <c r="K811" s="177"/>
      <c r="L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</row>
    <row r="812" spans="1:26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J812" s="177"/>
      <c r="K812" s="177"/>
      <c r="L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</row>
    <row r="813" spans="1:26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J813" s="177"/>
      <c r="K813" s="177"/>
      <c r="L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</row>
    <row r="814" spans="1:26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J814" s="177"/>
      <c r="K814" s="177"/>
      <c r="L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</row>
    <row r="815" spans="1:26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J815" s="177"/>
      <c r="K815" s="177"/>
      <c r="L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</row>
    <row r="816" spans="1:26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J816" s="177"/>
      <c r="K816" s="177"/>
      <c r="L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</row>
    <row r="817" spans="1:26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J817" s="177"/>
      <c r="K817" s="177"/>
      <c r="L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</row>
    <row r="818" spans="1:26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J818" s="177"/>
      <c r="K818" s="177"/>
      <c r="L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</row>
    <row r="819" spans="1:26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J819" s="177"/>
      <c r="K819" s="177"/>
      <c r="L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</row>
    <row r="820" spans="1:26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J820" s="177"/>
      <c r="K820" s="177"/>
      <c r="L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</row>
    <row r="821" spans="1:26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J821" s="177"/>
      <c r="K821" s="177"/>
      <c r="L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</row>
    <row r="822" spans="1:26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J822" s="177"/>
      <c r="K822" s="177"/>
      <c r="L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</row>
    <row r="823" spans="1:26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J823" s="177"/>
      <c r="K823" s="177"/>
      <c r="L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</row>
    <row r="824" spans="1:26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J824" s="177"/>
      <c r="K824" s="177"/>
      <c r="L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</row>
    <row r="825" spans="1:26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J825" s="177"/>
      <c r="K825" s="177"/>
      <c r="L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</row>
    <row r="826" spans="1:26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J826" s="177"/>
      <c r="K826" s="177"/>
      <c r="L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</row>
    <row r="827" spans="1:26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J827" s="177"/>
      <c r="K827" s="177"/>
      <c r="L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</row>
    <row r="828" spans="1:26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J828" s="177"/>
      <c r="K828" s="177"/>
      <c r="L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</row>
    <row r="829" spans="1:26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J829" s="177"/>
      <c r="K829" s="177"/>
      <c r="L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</row>
    <row r="830" spans="1:26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J830" s="177"/>
      <c r="K830" s="177"/>
      <c r="L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</row>
    <row r="831" spans="1:26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J831" s="177"/>
      <c r="K831" s="177"/>
      <c r="L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</row>
    <row r="832" spans="1:26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J832" s="177"/>
      <c r="K832" s="177"/>
      <c r="L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</row>
    <row r="833" spans="1:26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J833" s="177"/>
      <c r="K833" s="177"/>
      <c r="L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</row>
    <row r="834" spans="1:26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J834" s="177"/>
      <c r="K834" s="177"/>
      <c r="L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</row>
    <row r="835" spans="1:26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J835" s="177"/>
      <c r="K835" s="177"/>
      <c r="L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</row>
    <row r="836" spans="1:26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J836" s="177"/>
      <c r="K836" s="177"/>
      <c r="L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</row>
    <row r="837" spans="1:26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J837" s="177"/>
      <c r="K837" s="177"/>
      <c r="L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</row>
    <row r="838" spans="1:26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J838" s="177"/>
      <c r="K838" s="177"/>
      <c r="L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</row>
    <row r="839" spans="1:26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J839" s="177"/>
      <c r="K839" s="177"/>
      <c r="L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</row>
    <row r="840" spans="1:26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J840" s="177"/>
      <c r="K840" s="177"/>
      <c r="L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</row>
    <row r="841" spans="1:26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J841" s="177"/>
      <c r="K841" s="177"/>
      <c r="L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</row>
    <row r="842" spans="1:26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J842" s="177"/>
      <c r="K842" s="177"/>
      <c r="L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</row>
    <row r="843" spans="1:26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J843" s="177"/>
      <c r="K843" s="177"/>
      <c r="L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</row>
    <row r="844" spans="1:26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J844" s="177"/>
      <c r="K844" s="177"/>
      <c r="L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</row>
    <row r="845" spans="1:26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J845" s="177"/>
      <c r="K845" s="177"/>
      <c r="L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</row>
    <row r="846" spans="1:26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J846" s="177"/>
      <c r="K846" s="177"/>
      <c r="L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</row>
    <row r="847" spans="1:26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J847" s="177"/>
      <c r="K847" s="177"/>
      <c r="L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</row>
    <row r="848" spans="1:26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J848" s="177"/>
      <c r="K848" s="177"/>
      <c r="L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</row>
    <row r="849" spans="1:26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J849" s="177"/>
      <c r="K849" s="177"/>
      <c r="L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</row>
    <row r="850" spans="1:26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J850" s="177"/>
      <c r="K850" s="177"/>
      <c r="L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</row>
    <row r="851" spans="1:26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J851" s="177"/>
      <c r="K851" s="177"/>
      <c r="L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</row>
    <row r="852" spans="1:26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J852" s="177"/>
      <c r="K852" s="177"/>
      <c r="L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</row>
    <row r="853" spans="1:26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J853" s="177"/>
      <c r="K853" s="177"/>
      <c r="L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</row>
    <row r="854" spans="1:26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J854" s="177"/>
      <c r="K854" s="177"/>
      <c r="L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</row>
    <row r="855" spans="1:26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J855" s="177"/>
      <c r="K855" s="177"/>
      <c r="L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</row>
    <row r="856" spans="1:26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J856" s="177"/>
      <c r="K856" s="177"/>
      <c r="L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</row>
    <row r="857" spans="1:26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J857" s="177"/>
      <c r="K857" s="177"/>
      <c r="L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</row>
    <row r="858" spans="1:26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J858" s="177"/>
      <c r="K858" s="177"/>
      <c r="L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</row>
    <row r="859" spans="1:26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J859" s="177"/>
      <c r="K859" s="177"/>
      <c r="L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</row>
    <row r="860" spans="1:26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J860" s="177"/>
      <c r="K860" s="177"/>
      <c r="L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</row>
    <row r="861" spans="1:26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J861" s="177"/>
      <c r="K861" s="177"/>
      <c r="L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</row>
    <row r="862" spans="1:26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J862" s="177"/>
      <c r="K862" s="177"/>
      <c r="L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</row>
    <row r="863" spans="1:26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J863" s="177"/>
      <c r="K863" s="177"/>
      <c r="L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</row>
    <row r="864" spans="1:26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J864" s="177"/>
      <c r="K864" s="177"/>
      <c r="L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</row>
    <row r="865" spans="1:26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J865" s="177"/>
      <c r="K865" s="177"/>
      <c r="L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</row>
    <row r="866" spans="1:26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J866" s="177"/>
      <c r="K866" s="177"/>
      <c r="L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</row>
    <row r="867" spans="1:26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J867" s="177"/>
      <c r="K867" s="177"/>
      <c r="L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</row>
    <row r="868" spans="1:26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J868" s="177"/>
      <c r="K868" s="177"/>
      <c r="L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</row>
    <row r="869" spans="1:26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J869" s="177"/>
      <c r="K869" s="177"/>
      <c r="L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</row>
    <row r="870" spans="1:26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J870" s="177"/>
      <c r="K870" s="177"/>
      <c r="L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</row>
    <row r="871" spans="1:26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J871" s="177"/>
      <c r="K871" s="177"/>
      <c r="L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</row>
    <row r="872" spans="1:26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J872" s="177"/>
      <c r="K872" s="177"/>
      <c r="L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</row>
    <row r="873" spans="1:26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J873" s="177"/>
      <c r="K873" s="177"/>
      <c r="L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</row>
    <row r="874" spans="1:26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J874" s="177"/>
      <c r="K874" s="177"/>
      <c r="L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</row>
    <row r="875" spans="1:26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J875" s="177"/>
      <c r="K875" s="177"/>
      <c r="L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</row>
    <row r="876" spans="1:26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J876" s="177"/>
      <c r="K876" s="177"/>
      <c r="L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</row>
    <row r="877" spans="1:26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J877" s="177"/>
      <c r="K877" s="177"/>
      <c r="L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</row>
    <row r="878" spans="1:26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J878" s="177"/>
      <c r="K878" s="177"/>
      <c r="L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</row>
    <row r="879" spans="1:26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J879" s="177"/>
      <c r="K879" s="177"/>
      <c r="L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</row>
    <row r="880" spans="1:26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J880" s="177"/>
      <c r="K880" s="177"/>
      <c r="L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</row>
    <row r="881" spans="1:26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J881" s="177"/>
      <c r="K881" s="177"/>
      <c r="L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</row>
    <row r="882" spans="1:26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J882" s="177"/>
      <c r="K882" s="177"/>
      <c r="L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</row>
    <row r="883" spans="1:26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J883" s="177"/>
      <c r="K883" s="177"/>
      <c r="L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</row>
    <row r="884" spans="1:26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J884" s="177"/>
      <c r="K884" s="177"/>
      <c r="L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</row>
    <row r="885" spans="1:26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J885" s="177"/>
      <c r="K885" s="177"/>
      <c r="L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</row>
    <row r="886" spans="1:26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J886" s="177"/>
      <c r="K886" s="177"/>
      <c r="L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</row>
    <row r="887" spans="1:26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J887" s="177"/>
      <c r="K887" s="177"/>
      <c r="L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</row>
    <row r="888" spans="1:26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J888" s="177"/>
      <c r="K888" s="177"/>
      <c r="L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</row>
    <row r="889" spans="1:26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J889" s="177"/>
      <c r="K889" s="177"/>
      <c r="L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</row>
    <row r="890" spans="1:26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J890" s="177"/>
      <c r="K890" s="177"/>
      <c r="L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</row>
    <row r="891" spans="1:26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J891" s="177"/>
      <c r="K891" s="177"/>
      <c r="L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</row>
    <row r="892" spans="1:26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J892" s="177"/>
      <c r="K892" s="177"/>
      <c r="L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</row>
    <row r="893" spans="1:26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J893" s="177"/>
      <c r="K893" s="177"/>
      <c r="L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</row>
    <row r="894" spans="1:26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J894" s="177"/>
      <c r="K894" s="177"/>
      <c r="L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</row>
    <row r="895" spans="1:26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J895" s="177"/>
      <c r="K895" s="177"/>
      <c r="L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</row>
    <row r="896" spans="1:26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J896" s="177"/>
      <c r="K896" s="177"/>
      <c r="L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</row>
    <row r="897" spans="1:26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J897" s="177"/>
      <c r="K897" s="177"/>
      <c r="L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</row>
    <row r="898" spans="1:26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J898" s="177"/>
      <c r="K898" s="177"/>
      <c r="L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</row>
    <row r="899" spans="1:26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J899" s="177"/>
      <c r="K899" s="177"/>
      <c r="L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</row>
    <row r="900" spans="1:26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J900" s="177"/>
      <c r="K900" s="177"/>
      <c r="L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</row>
    <row r="901" spans="1:26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J901" s="177"/>
      <c r="K901" s="177"/>
      <c r="L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</row>
    <row r="902" spans="1:26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J902" s="177"/>
      <c r="K902" s="177"/>
      <c r="L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</row>
    <row r="903" spans="1:26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J903" s="177"/>
      <c r="K903" s="177"/>
      <c r="L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</row>
    <row r="904" spans="1:26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J904" s="177"/>
      <c r="K904" s="177"/>
      <c r="L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</row>
    <row r="905" spans="1:26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J905" s="177"/>
      <c r="K905" s="177"/>
      <c r="L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</row>
    <row r="906" spans="1:26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J906" s="177"/>
      <c r="K906" s="177"/>
      <c r="L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</row>
    <row r="907" spans="1:26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J907" s="177"/>
      <c r="K907" s="177"/>
      <c r="L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</row>
    <row r="908" spans="1:26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J908" s="177"/>
      <c r="K908" s="177"/>
      <c r="L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</row>
    <row r="909" spans="1:26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J909" s="177"/>
      <c r="K909" s="177"/>
      <c r="L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</row>
    <row r="910" spans="1:26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J910" s="177"/>
      <c r="K910" s="177"/>
      <c r="L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</row>
    <row r="911" spans="1:26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J911" s="177"/>
      <c r="K911" s="177"/>
      <c r="L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</row>
    <row r="912" spans="1:26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J912" s="177"/>
      <c r="K912" s="177"/>
      <c r="L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</row>
    <row r="913" spans="1:26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J913" s="177"/>
      <c r="K913" s="177"/>
      <c r="L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</row>
    <row r="914" spans="1:26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J914" s="177"/>
      <c r="K914" s="177"/>
      <c r="L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</row>
    <row r="915" spans="1:26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J915" s="177"/>
      <c r="K915" s="177"/>
      <c r="L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</row>
    <row r="916" spans="1:26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J916" s="177"/>
      <c r="K916" s="177"/>
      <c r="L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</row>
    <row r="917" spans="1:26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J917" s="177"/>
      <c r="K917" s="177"/>
      <c r="L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</row>
    <row r="918" spans="1:26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J918" s="177"/>
      <c r="K918" s="177"/>
      <c r="L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</row>
    <row r="919" spans="1:26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J919" s="177"/>
      <c r="K919" s="177"/>
      <c r="L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</row>
    <row r="920" spans="1:26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J920" s="177"/>
      <c r="K920" s="177"/>
      <c r="L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</row>
    <row r="921" spans="1:26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J921" s="177"/>
      <c r="K921" s="177"/>
      <c r="L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</row>
    <row r="922" spans="1:26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J922" s="177"/>
      <c r="K922" s="177"/>
      <c r="L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</row>
    <row r="923" spans="1:26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J923" s="177"/>
      <c r="K923" s="177"/>
      <c r="L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</row>
    <row r="924" spans="1:26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J924" s="177"/>
      <c r="K924" s="177"/>
      <c r="L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</row>
    <row r="925" spans="1:26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J925" s="177"/>
      <c r="K925" s="177"/>
      <c r="L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</row>
    <row r="926" spans="1:26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J926" s="177"/>
      <c r="K926" s="177"/>
      <c r="L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</row>
    <row r="927" spans="1:26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J927" s="177"/>
      <c r="K927" s="177"/>
      <c r="L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</row>
    <row r="928" spans="1:26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J928" s="177"/>
      <c r="K928" s="177"/>
      <c r="L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</row>
    <row r="929" spans="1:26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J929" s="177"/>
      <c r="K929" s="177"/>
      <c r="L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</row>
    <row r="930" spans="1:26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J930" s="177"/>
      <c r="K930" s="177"/>
      <c r="L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</row>
    <row r="931" spans="1:26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J931" s="177"/>
      <c r="K931" s="177"/>
      <c r="L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</row>
    <row r="932" spans="1:26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J932" s="177"/>
      <c r="K932" s="177"/>
      <c r="L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</row>
    <row r="933" spans="1:26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J933" s="177"/>
      <c r="K933" s="177"/>
      <c r="L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</row>
    <row r="934" spans="1:26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J934" s="177"/>
      <c r="K934" s="177"/>
      <c r="L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</row>
    <row r="935" spans="1:26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J935" s="177"/>
      <c r="K935" s="177"/>
      <c r="L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</row>
    <row r="936" spans="1:26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J936" s="177"/>
      <c r="K936" s="177"/>
      <c r="L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</row>
    <row r="937" spans="1:26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J937" s="177"/>
      <c r="K937" s="177"/>
      <c r="L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</row>
    <row r="938" spans="1:26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J938" s="177"/>
      <c r="K938" s="177"/>
      <c r="L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</row>
    <row r="939" spans="1:26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J939" s="177"/>
      <c r="K939" s="177"/>
      <c r="L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</row>
    <row r="940" spans="1:26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J940" s="177"/>
      <c r="K940" s="177"/>
      <c r="L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</row>
    <row r="941" spans="1:26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J941" s="177"/>
      <c r="K941" s="177"/>
      <c r="L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</row>
    <row r="942" spans="1:26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J942" s="177"/>
      <c r="K942" s="177"/>
      <c r="L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</row>
    <row r="943" spans="1:26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J943" s="177"/>
      <c r="K943" s="177"/>
      <c r="L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</row>
    <row r="944" spans="1:26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J944" s="177"/>
      <c r="K944" s="177"/>
      <c r="L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</row>
    <row r="945" spans="1:26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J945" s="177"/>
      <c r="K945" s="177"/>
      <c r="L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</row>
    <row r="946" spans="1:26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J946" s="177"/>
      <c r="K946" s="177"/>
      <c r="L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</row>
    <row r="947" spans="1:26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J947" s="177"/>
      <c r="K947" s="177"/>
      <c r="L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</row>
    <row r="948" spans="1:26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J948" s="177"/>
      <c r="K948" s="177"/>
      <c r="L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</row>
    <row r="949" spans="1:26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J949" s="177"/>
      <c r="K949" s="177"/>
      <c r="L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</row>
    <row r="950" spans="1:26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J950" s="177"/>
      <c r="K950" s="177"/>
      <c r="L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</row>
    <row r="951" spans="1:26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J951" s="177"/>
      <c r="K951" s="177"/>
      <c r="L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</row>
    <row r="952" spans="1:26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J952" s="177"/>
      <c r="K952" s="177"/>
      <c r="L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</row>
    <row r="953" spans="1:26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J953" s="177"/>
      <c r="K953" s="177"/>
      <c r="L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</row>
    <row r="954" spans="1:26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J954" s="177"/>
      <c r="K954" s="177"/>
      <c r="L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</row>
    <row r="955" spans="1:26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J955" s="177"/>
      <c r="K955" s="177"/>
      <c r="L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</row>
    <row r="956" spans="1:26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J956" s="177"/>
      <c r="K956" s="177"/>
      <c r="L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</row>
    <row r="957" spans="1:26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J957" s="177"/>
      <c r="K957" s="177"/>
      <c r="L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</row>
    <row r="958" spans="1:26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J958" s="177"/>
      <c r="K958" s="177"/>
      <c r="L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</row>
    <row r="959" spans="1:26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J959" s="177"/>
      <c r="K959" s="177"/>
      <c r="L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</row>
    <row r="960" spans="1:26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J960" s="177"/>
      <c r="K960" s="177"/>
      <c r="L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</row>
    <row r="961" spans="1:26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J961" s="177"/>
      <c r="K961" s="177"/>
      <c r="L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</row>
    <row r="962" spans="1:26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J962" s="177"/>
      <c r="K962" s="177"/>
      <c r="L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</row>
    <row r="963" spans="1:26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J963" s="177"/>
      <c r="K963" s="177"/>
      <c r="L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</row>
    <row r="964" spans="1:26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J964" s="177"/>
      <c r="K964" s="177"/>
      <c r="L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</row>
    <row r="965" spans="1:26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J965" s="177"/>
      <c r="K965" s="177"/>
      <c r="L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</row>
    <row r="966" spans="1:26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J966" s="177"/>
      <c r="K966" s="177"/>
      <c r="L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</row>
    <row r="967" spans="1:26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J967" s="177"/>
      <c r="K967" s="177"/>
      <c r="L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</row>
    <row r="968" spans="1:26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J968" s="177"/>
      <c r="K968" s="177"/>
      <c r="L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</row>
    <row r="969" spans="1:26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J969" s="177"/>
      <c r="K969" s="177"/>
      <c r="L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</row>
    <row r="970" spans="1:26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J970" s="177"/>
      <c r="K970" s="177"/>
      <c r="L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</row>
    <row r="971" spans="1:26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J971" s="177"/>
      <c r="K971" s="177"/>
      <c r="L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</row>
    <row r="972" spans="1:26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J972" s="177"/>
      <c r="K972" s="177"/>
      <c r="L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</row>
    <row r="973" spans="1:26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J973" s="177"/>
      <c r="K973" s="177"/>
      <c r="L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</row>
    <row r="974" spans="1:26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J974" s="177"/>
      <c r="K974" s="177"/>
      <c r="L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</row>
    <row r="975" spans="1:26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J975" s="177"/>
      <c r="K975" s="177"/>
      <c r="L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</row>
    <row r="976" spans="1:26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J976" s="177"/>
      <c r="K976" s="177"/>
      <c r="L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</row>
    <row r="977" spans="1:26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J977" s="177"/>
      <c r="K977" s="177"/>
      <c r="L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</row>
    <row r="978" spans="1:26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J978" s="177"/>
      <c r="K978" s="177"/>
      <c r="L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</row>
    <row r="979" spans="1:26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J979" s="177"/>
      <c r="K979" s="177"/>
      <c r="L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</row>
    <row r="980" spans="1:26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J980" s="177"/>
      <c r="K980" s="177"/>
      <c r="L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</row>
    <row r="981" spans="1:26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J981" s="177"/>
      <c r="K981" s="177"/>
      <c r="L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</row>
    <row r="982" spans="1:26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J982" s="177"/>
      <c r="K982" s="177"/>
      <c r="L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</row>
    <row r="983" spans="1:26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J983" s="177"/>
      <c r="K983" s="177"/>
      <c r="L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</row>
    <row r="984" spans="1:26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J984" s="177"/>
      <c r="K984" s="177"/>
      <c r="L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</row>
    <row r="985" spans="1:26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J985" s="177"/>
      <c r="K985" s="177"/>
      <c r="L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</row>
    <row r="986" spans="1:26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J986" s="177"/>
      <c r="K986" s="177"/>
      <c r="L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</row>
    <row r="987" spans="1:26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J987" s="177"/>
      <c r="K987" s="177"/>
      <c r="L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</row>
    <row r="988" spans="1:26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J988" s="177"/>
      <c r="K988" s="177"/>
      <c r="L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</row>
    <row r="989" spans="1:26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J989" s="177"/>
      <c r="K989" s="177"/>
      <c r="L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</row>
    <row r="990" spans="1:26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J990" s="177"/>
      <c r="K990" s="177"/>
      <c r="L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</row>
    <row r="991" spans="1:26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J991" s="177"/>
      <c r="K991" s="177"/>
      <c r="L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</row>
    <row r="992" spans="1:26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J992" s="177"/>
      <c r="K992" s="177"/>
      <c r="L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</row>
    <row r="993" spans="1:26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J993" s="177"/>
      <c r="K993" s="177"/>
      <c r="L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</row>
    <row r="994" spans="1:26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J994" s="177"/>
      <c r="K994" s="177"/>
      <c r="L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</row>
    <row r="995" spans="1:26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J995" s="177"/>
      <c r="K995" s="177"/>
      <c r="L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</row>
    <row r="996" spans="1:26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J996" s="177"/>
      <c r="K996" s="177"/>
      <c r="L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</row>
    <row r="997" spans="1:26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J997" s="177"/>
      <c r="K997" s="177"/>
      <c r="L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</row>
    <row r="998" spans="1:26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J998" s="177"/>
      <c r="K998" s="177"/>
      <c r="L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</row>
    <row r="999" spans="1:26" ht="15.75" customHeight="1">
      <c r="A999" s="177"/>
      <c r="B999" s="177"/>
      <c r="C999" s="177"/>
      <c r="D999" s="177"/>
      <c r="E999" s="177"/>
      <c r="F999" s="177"/>
      <c r="G999" s="177"/>
      <c r="H999" s="177"/>
      <c r="I999" s="177"/>
      <c r="J999" s="177"/>
      <c r="K999" s="177"/>
      <c r="L999" s="177"/>
      <c r="M999" s="177"/>
      <c r="N999" s="177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77"/>
      <c r="Z999" s="177"/>
    </row>
    <row r="1000" spans="1:26" ht="15.75" customHeight="1">
      <c r="A1000" s="177"/>
      <c r="B1000" s="177"/>
      <c r="C1000" s="177"/>
      <c r="D1000" s="177"/>
      <c r="E1000" s="177"/>
      <c r="F1000" s="177"/>
      <c r="G1000" s="177"/>
      <c r="H1000" s="177"/>
      <c r="I1000" s="177"/>
      <c r="J1000" s="177"/>
      <c r="K1000" s="177"/>
      <c r="L1000" s="177"/>
      <c r="M1000" s="177"/>
      <c r="N1000" s="177"/>
      <c r="O1000" s="177"/>
      <c r="P1000" s="177"/>
      <c r="Q1000" s="177"/>
      <c r="R1000" s="177"/>
      <c r="S1000" s="177"/>
      <c r="T1000" s="177"/>
      <c r="U1000" s="177"/>
      <c r="V1000" s="177"/>
      <c r="W1000" s="177"/>
      <c r="X1000" s="177"/>
      <c r="Y1000" s="177"/>
      <c r="Z1000" s="177"/>
    </row>
  </sheetData>
  <dataValidations count="2">
    <dataValidation type="list" allowBlank="1" showErrorMessage="1" sqref="H6" xr:uid="{00000000-0002-0000-1000-000000000000}">
      <formula1>$B$3:$E$3</formula1>
    </dataValidation>
    <dataValidation type="list" allowBlank="1" showErrorMessage="1" sqref="H5" xr:uid="{00000000-0002-0000-1000-000001000000}">
      <formula1>$K$3:$M$3</formula1>
    </dataValidation>
  </dataValidation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Version Summary</vt:lpstr>
      <vt:lpstr>Assumptions</vt:lpstr>
      <vt:lpstr>Year 1 Traffic</vt:lpstr>
      <vt:lpstr>Events</vt:lpstr>
      <vt:lpstr>Beer Revenue</vt:lpstr>
      <vt:lpstr>Beer COGS</vt:lpstr>
      <vt:lpstr>4pk costs</vt:lpstr>
      <vt:lpstr>Labor</vt:lpstr>
      <vt:lpstr>Capital purchases</vt:lpstr>
      <vt:lpstr>Start-up expenses</vt:lpstr>
      <vt:lpstr>Depreciation</vt:lpstr>
      <vt:lpstr>LoanPayCalc</vt:lpstr>
      <vt:lpstr>SOFP</vt:lpstr>
      <vt:lpstr>SOCF</vt:lpstr>
      <vt:lpstr>SOO</vt:lpstr>
      <vt:lpstr>Exec Summary-Std</vt:lpstr>
      <vt:lpstr>Production</vt:lpstr>
      <vt:lpstr>Recipe Costs</vt:lpstr>
      <vt:lpstr>Lists</vt:lpstr>
      <vt:lpstr>Estimates - COGS - Total Volume</vt:lpstr>
      <vt:lpstr>FS-Summary</vt:lpstr>
      <vt:lpstr>PkG_Pricing</vt:lpstr>
      <vt:lpstr>No_Mos</vt:lpstr>
      <vt:lpstr>Yes_No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</dc:creator>
  <cp:lastModifiedBy>Aaron</cp:lastModifiedBy>
  <dcterms:created xsi:type="dcterms:W3CDTF">2022-06-09T21:05:18Z</dcterms:created>
  <dcterms:modified xsi:type="dcterms:W3CDTF">2023-06-10T06:25:13Z</dcterms:modified>
</cp:coreProperties>
</file>